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Ivan\Dropbox\"/>
    </mc:Choice>
  </mc:AlternateContent>
  <xr:revisionPtr revIDLastSave="0" documentId="13_ncr:1_{BDFB2D4B-7884-41F6-A3E5-9926F3AAD1B5}" xr6:coauthVersionLast="47" xr6:coauthVersionMax="47" xr10:uidLastSave="{00000000-0000-0000-0000-000000000000}"/>
  <bookViews>
    <workbookView xWindow="-120" yWindow="-120" windowWidth="20730" windowHeight="11310" xr2:uid="{A3BE65C8-621B-4E0E-B669-A2B1DA057E54}"/>
  </bookViews>
  <sheets>
    <sheet name="8" sheetId="3" r:id="rId1"/>
    <sheet name="6823" sheetId="1" r:id="rId2"/>
  </sheets>
  <calcPr calcId="191029"/>
  <fileRecoveryPr repairLoad="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43" i="3" l="1"/>
  <c r="C43" i="3"/>
  <c r="D43" i="3"/>
  <c r="E43" i="3"/>
  <c r="F43" i="3"/>
  <c r="G43" i="3"/>
  <c r="H43" i="3"/>
  <c r="L5" i="1" l="1"/>
  <c r="L6" i="1"/>
  <c r="L7" i="1"/>
  <c r="L4" i="1"/>
  <c r="O7" i="1"/>
  <c r="O6" i="1"/>
  <c r="O5" i="1"/>
  <c r="O4" i="1"/>
  <c r="K3" i="1"/>
  <c r="M3" i="1"/>
  <c r="O3" i="1"/>
  <c r="N3" i="1"/>
  <c r="Q3" i="1"/>
  <c r="P3" i="1"/>
  <c r="B40" i="3"/>
  <c r="B39" i="3"/>
  <c r="K21" i="3"/>
  <c r="C40" i="3"/>
  <c r="C39" i="3"/>
  <c r="C36" i="3"/>
  <c r="C35" i="3"/>
  <c r="C31" i="3"/>
  <c r="C30" i="3"/>
  <c r="C28" i="3"/>
  <c r="C27" i="3"/>
  <c r="C25" i="3"/>
  <c r="C24" i="3"/>
  <c r="E40" i="3"/>
  <c r="E39" i="3"/>
  <c r="B9" i="3"/>
  <c r="L12" i="3"/>
  <c r="M21" i="3"/>
  <c r="L6" i="3"/>
  <c r="L4" i="3"/>
  <c r="L3" i="3"/>
  <c r="O4" i="3"/>
  <c r="O3" i="3"/>
  <c r="P21" i="3"/>
  <c r="O12" i="3"/>
  <c r="D40" i="3"/>
  <c r="D39" i="3"/>
  <c r="C6" i="3"/>
  <c r="C7" i="3"/>
  <c r="F6" i="3"/>
  <c r="F7" i="3"/>
  <c r="F36" i="3"/>
  <c r="F35" i="3"/>
  <c r="F31" i="3"/>
  <c r="F30" i="3"/>
  <c r="F28" i="3"/>
  <c r="F27" i="3"/>
  <c r="F25" i="3"/>
  <c r="F24" i="3"/>
  <c r="C19" i="3"/>
  <c r="F19" i="3"/>
  <c r="C15" i="3"/>
  <c r="C13" i="3"/>
  <c r="F15" i="3"/>
  <c r="F14" i="3"/>
  <c r="F13" i="3"/>
  <c r="F11" i="3"/>
  <c r="D9" i="3"/>
  <c r="D12" i="3" s="1"/>
  <c r="G9" i="3"/>
  <c r="G12" i="3" s="1"/>
  <c r="B12" i="3"/>
  <c r="B11" i="1"/>
  <c r="D11" i="1"/>
  <c r="E11" i="1"/>
  <c r="G11" i="1"/>
  <c r="H11" i="1"/>
  <c r="T17" i="3"/>
  <c r="V17" i="3"/>
  <c r="W17" i="3"/>
  <c r="Y17" i="3"/>
  <c r="T18" i="3"/>
  <c r="V18" i="3"/>
  <c r="W18" i="3"/>
  <c r="Y18" i="3"/>
  <c r="T19" i="3"/>
  <c r="V19" i="3"/>
  <c r="W19" i="3"/>
  <c r="Y19" i="3"/>
  <c r="T20" i="3"/>
  <c r="V20" i="3"/>
  <c r="W20" i="3"/>
  <c r="Y20" i="3"/>
  <c r="T24" i="3"/>
  <c r="V24" i="3"/>
  <c r="W24" i="3"/>
  <c r="Y24" i="3"/>
  <c r="Z24" i="3"/>
  <c r="Z20" i="3"/>
  <c r="Z19" i="3"/>
  <c r="Z18" i="3"/>
  <c r="L3" i="1" l="1"/>
  <c r="X7" i="3"/>
  <c r="X8" i="3"/>
  <c r="X9" i="3"/>
  <c r="X10" i="3"/>
  <c r="U7" i="3"/>
  <c r="U10" i="3"/>
  <c r="U9" i="3"/>
  <c r="T11" i="3"/>
  <c r="Z11" i="3"/>
  <c r="N21" i="3"/>
  <c r="O21" i="3" s="1"/>
  <c r="Q21" i="3"/>
  <c r="O18" i="3"/>
  <c r="L18" i="3"/>
  <c r="F6" i="1"/>
  <c r="C6" i="1"/>
  <c r="C7" i="1"/>
  <c r="F7" i="1"/>
  <c r="L9" i="3"/>
  <c r="L8" i="3"/>
  <c r="O9" i="3"/>
  <c r="O8" i="3"/>
  <c r="X19" i="3" s="1"/>
  <c r="K5" i="3"/>
  <c r="M5" i="3"/>
  <c r="V16" i="3" s="1"/>
  <c r="P5" i="3"/>
  <c r="Y16" i="3" s="1"/>
  <c r="G39" i="3"/>
  <c r="F39" i="3" s="1"/>
  <c r="H39" i="3"/>
  <c r="G40" i="3"/>
  <c r="F40" i="3" s="1"/>
  <c r="H40" i="3"/>
  <c r="E9" i="3"/>
  <c r="H9" i="3"/>
  <c r="H12" i="3" s="1"/>
  <c r="O6" i="3"/>
  <c r="L7" i="3"/>
  <c r="O7" i="3"/>
  <c r="L10" i="3"/>
  <c r="O10" i="3"/>
  <c r="L14" i="3"/>
  <c r="O14" i="3"/>
  <c r="L15" i="3"/>
  <c r="O15" i="3"/>
  <c r="L17" i="3"/>
  <c r="O17" i="3"/>
  <c r="L19" i="3"/>
  <c r="O19" i="3"/>
  <c r="L20" i="3"/>
  <c r="O20" i="3"/>
  <c r="L21" i="3"/>
  <c r="L22" i="3"/>
  <c r="O22" i="3"/>
  <c r="G21" i="3"/>
  <c r="C3" i="3"/>
  <c r="F3" i="3"/>
  <c r="C4" i="3"/>
  <c r="F4" i="3"/>
  <c r="C5" i="3"/>
  <c r="F5" i="3"/>
  <c r="C8" i="3"/>
  <c r="F8" i="3"/>
  <c r="C9" i="3"/>
  <c r="C10" i="3"/>
  <c r="F10" i="3"/>
  <c r="C11" i="3"/>
  <c r="D41" i="3"/>
  <c r="C41" i="3"/>
  <c r="B41" i="3"/>
  <c r="E41" i="3"/>
  <c r="F41" i="3"/>
  <c r="H32" i="3"/>
  <c r="G32" i="3"/>
  <c r="F32" i="3"/>
  <c r="E32" i="3"/>
  <c r="D32" i="3"/>
  <c r="C32" i="3"/>
  <c r="B32" i="3"/>
  <c r="H26" i="3"/>
  <c r="G26" i="3"/>
  <c r="F26" i="3"/>
  <c r="E26" i="3"/>
  <c r="D26" i="3"/>
  <c r="C26" i="3"/>
  <c r="B26" i="3"/>
  <c r="D21" i="3"/>
  <c r="X12" i="3"/>
  <c r="X24" i="3" s="1"/>
  <c r="U12" i="3"/>
  <c r="U24" i="3" s="1"/>
  <c r="U8" i="3"/>
  <c r="F18" i="3"/>
  <c r="C18" i="3"/>
  <c r="X6" i="3"/>
  <c r="U6" i="3"/>
  <c r="X5" i="3"/>
  <c r="U5" i="3"/>
  <c r="U17" i="3" s="1"/>
  <c r="X4" i="3"/>
  <c r="U4" i="3"/>
  <c r="G16" i="3"/>
  <c r="D16" i="3"/>
  <c r="B16" i="3"/>
  <c r="Q5" i="3"/>
  <c r="N5" i="3"/>
  <c r="W16" i="3" s="1"/>
  <c r="X17" i="3" l="1"/>
  <c r="X20" i="3"/>
  <c r="C16" i="3"/>
  <c r="D44" i="3"/>
  <c r="K11" i="3"/>
  <c r="T23" i="3" s="1"/>
  <c r="T16" i="3"/>
  <c r="C44" i="3"/>
  <c r="E44" i="3"/>
  <c r="Z13" i="3"/>
  <c r="E12" i="3"/>
  <c r="F12" i="3" s="1"/>
  <c r="Q11" i="3"/>
  <c r="Z23" i="3" s="1"/>
  <c r="Z16" i="3"/>
  <c r="B44" i="3"/>
  <c r="T13" i="3"/>
  <c r="U20" i="3"/>
  <c r="U19" i="3"/>
  <c r="U18" i="3"/>
  <c r="X18" i="3"/>
  <c r="F44" i="3"/>
  <c r="C12" i="3"/>
  <c r="F9" i="3"/>
  <c r="P11" i="3"/>
  <c r="N11" i="3"/>
  <c r="N13" i="3" s="1"/>
  <c r="N16" i="3" s="1"/>
  <c r="N23" i="3" s="1"/>
  <c r="M11" i="3"/>
  <c r="G41" i="3"/>
  <c r="G44" i="3" s="1"/>
  <c r="X11" i="3"/>
  <c r="X13" i="3" s="1"/>
  <c r="Y11" i="3"/>
  <c r="Y13" i="3" s="1"/>
  <c r="W11" i="3"/>
  <c r="V11" i="3"/>
  <c r="V13" i="3" s="1"/>
  <c r="H41" i="3"/>
  <c r="H44" i="3" s="1"/>
  <c r="L5" i="3"/>
  <c r="U16" i="3" s="1"/>
  <c r="O5" i="3"/>
  <c r="X16" i="3" s="1"/>
  <c r="D34" i="3"/>
  <c r="D37" i="3" s="1"/>
  <c r="U11" i="3"/>
  <c r="U13" i="3" s="1"/>
  <c r="H34" i="3"/>
  <c r="G34" i="3"/>
  <c r="F34" i="3" s="1"/>
  <c r="F37" i="3" s="1"/>
  <c r="H16" i="3"/>
  <c r="H20" i="3" s="1"/>
  <c r="B34" i="3"/>
  <c r="G20" i="3"/>
  <c r="B20" i="3"/>
  <c r="D20" i="3"/>
  <c r="C34" i="3"/>
  <c r="C37" i="3" s="1"/>
  <c r="E34" i="3"/>
  <c r="C20" i="3"/>
  <c r="G19" i="1"/>
  <c r="D19" i="1"/>
  <c r="F17" i="1"/>
  <c r="C17" i="1"/>
  <c r="E36" i="1"/>
  <c r="E37" i="1"/>
  <c r="B36" i="1"/>
  <c r="B38" i="1" s="1"/>
  <c r="C13" i="1"/>
  <c r="C12" i="1"/>
  <c r="C10" i="1"/>
  <c r="C9" i="1"/>
  <c r="C8" i="1"/>
  <c r="C5" i="1"/>
  <c r="C4" i="1"/>
  <c r="C3" i="1"/>
  <c r="C16" i="1"/>
  <c r="U9" i="1"/>
  <c r="U8" i="1"/>
  <c r="U6" i="1"/>
  <c r="U5" i="1"/>
  <c r="T7" i="1"/>
  <c r="T10" i="1" s="1"/>
  <c r="V7" i="1"/>
  <c r="Y7" i="1"/>
  <c r="Y10" i="1" s="1"/>
  <c r="X5" i="1"/>
  <c r="X6" i="1"/>
  <c r="X8" i="1"/>
  <c r="X9" i="1"/>
  <c r="U4" i="1"/>
  <c r="X4" i="1"/>
  <c r="T15" i="1"/>
  <c r="T14" i="1"/>
  <c r="T13" i="1"/>
  <c r="V15" i="1"/>
  <c r="V14" i="1"/>
  <c r="V13" i="1"/>
  <c r="Y17" i="1"/>
  <c r="Y15" i="1"/>
  <c r="Y14" i="1"/>
  <c r="Y13" i="1"/>
  <c r="L26" i="1"/>
  <c r="L25" i="1"/>
  <c r="L24" i="1"/>
  <c r="L23" i="1"/>
  <c r="L22" i="1"/>
  <c r="O23" i="1"/>
  <c r="O24" i="1"/>
  <c r="O25" i="1"/>
  <c r="O26" i="1"/>
  <c r="O22" i="1"/>
  <c r="O20" i="1"/>
  <c r="O19" i="1"/>
  <c r="L20" i="1"/>
  <c r="L19" i="1"/>
  <c r="L17" i="1"/>
  <c r="L16" i="1"/>
  <c r="O17" i="1"/>
  <c r="O16" i="1"/>
  <c r="O14" i="1"/>
  <c r="L11" i="1"/>
  <c r="L10" i="1"/>
  <c r="O11" i="1"/>
  <c r="O10" i="1"/>
  <c r="L8" i="1"/>
  <c r="K12" i="1"/>
  <c r="K18" i="1" s="1"/>
  <c r="K21" i="1" s="1"/>
  <c r="K27" i="1" s="1"/>
  <c r="M12" i="1"/>
  <c r="M18" i="1" s="1"/>
  <c r="M21" i="1" s="1"/>
  <c r="M27" i="1" s="1"/>
  <c r="P12" i="1"/>
  <c r="P18" i="1" s="1"/>
  <c r="P21" i="1" s="1"/>
  <c r="P27" i="1" s="1"/>
  <c r="F16" i="1"/>
  <c r="F13" i="1"/>
  <c r="F12" i="1"/>
  <c r="F4" i="1"/>
  <c r="F5" i="1"/>
  <c r="F8" i="1"/>
  <c r="F9" i="1"/>
  <c r="F10" i="1"/>
  <c r="F3" i="1"/>
  <c r="C36" i="1"/>
  <c r="C38" i="1" s="1"/>
  <c r="D36" i="1"/>
  <c r="D38" i="1" s="1"/>
  <c r="G37" i="1"/>
  <c r="F37" i="1"/>
  <c r="G36" i="1"/>
  <c r="F36" i="1"/>
  <c r="G30" i="1"/>
  <c r="D30" i="1"/>
  <c r="G24" i="1"/>
  <c r="D24" i="1"/>
  <c r="G14" i="1"/>
  <c r="G18" i="1" s="1"/>
  <c r="D14" i="1"/>
  <c r="D18" i="1" s="1"/>
  <c r="C24" i="1"/>
  <c r="C30" i="1"/>
  <c r="B30" i="1"/>
  <c r="F30" i="1"/>
  <c r="B24" i="1"/>
  <c r="F24" i="1"/>
  <c r="B14" i="1"/>
  <c r="B18" i="1" s="1"/>
  <c r="W14" i="1"/>
  <c r="W15" i="1"/>
  <c r="Z17" i="1"/>
  <c r="Z15" i="1"/>
  <c r="Z14" i="1"/>
  <c r="W7" i="1"/>
  <c r="W10" i="1" s="1"/>
  <c r="N12" i="1"/>
  <c r="N8" i="1"/>
  <c r="W13" i="1" s="1"/>
  <c r="Z7" i="1"/>
  <c r="Z10" i="1" s="1"/>
  <c r="Q12" i="1"/>
  <c r="Q8" i="1"/>
  <c r="Z13" i="1" s="1"/>
  <c r="H37" i="1"/>
  <c r="H36" i="1"/>
  <c r="H30" i="1"/>
  <c r="E30" i="1"/>
  <c r="H24" i="1"/>
  <c r="E24" i="1"/>
  <c r="H14" i="1"/>
  <c r="H18" i="1" s="1"/>
  <c r="E14" i="1"/>
  <c r="E18" i="1" s="1"/>
  <c r="W13" i="3" l="1"/>
  <c r="W23" i="3"/>
  <c r="T21" i="3"/>
  <c r="Q13" i="3"/>
  <c r="Q16" i="3" s="1"/>
  <c r="Q23" i="3" s="1"/>
  <c r="E16" i="3"/>
  <c r="C11" i="1"/>
  <c r="C14" i="1" s="1"/>
  <c r="C18" i="1" s="1"/>
  <c r="F11" i="1"/>
  <c r="F14" i="1" s="1"/>
  <c r="F18" i="1" s="1"/>
  <c r="L11" i="3"/>
  <c r="V21" i="3"/>
  <c r="V23" i="3"/>
  <c r="Y23" i="3"/>
  <c r="Y21" i="3"/>
  <c r="O11" i="3"/>
  <c r="P13" i="3"/>
  <c r="K13" i="3"/>
  <c r="K16" i="3" s="1"/>
  <c r="K23" i="3" s="1"/>
  <c r="M13" i="3"/>
  <c r="D41" i="1"/>
  <c r="G32" i="1"/>
  <c r="G34" i="1" s="1"/>
  <c r="L12" i="1"/>
  <c r="L18" i="1" s="1"/>
  <c r="L21" i="1" s="1"/>
  <c r="L27" i="1" s="1"/>
  <c r="C32" i="1"/>
  <c r="C34" i="1" s="1"/>
  <c r="C40" i="1" s="1"/>
  <c r="B41" i="1"/>
  <c r="C41" i="1"/>
  <c r="E37" i="3"/>
  <c r="B37" i="3"/>
  <c r="G37" i="3"/>
  <c r="H37" i="3"/>
  <c r="X17" i="1"/>
  <c r="X15" i="1"/>
  <c r="X14" i="1"/>
  <c r="Y18" i="1"/>
  <c r="T16" i="1"/>
  <c r="V16" i="1"/>
  <c r="U13" i="1"/>
  <c r="U15" i="1"/>
  <c r="Z21" i="3"/>
  <c r="V10" i="1"/>
  <c r="V18" i="1" s="1"/>
  <c r="U7" i="1"/>
  <c r="U14" i="1"/>
  <c r="Y16" i="1"/>
  <c r="T18" i="1"/>
  <c r="T19" i="1"/>
  <c r="X7" i="1"/>
  <c r="Y19" i="1"/>
  <c r="G38" i="1"/>
  <c r="G41" i="1" s="1"/>
  <c r="O8" i="1"/>
  <c r="X13" i="1" s="1"/>
  <c r="O12" i="1"/>
  <c r="D32" i="1"/>
  <c r="D34" i="1" s="1"/>
  <c r="D40" i="1" s="1"/>
  <c r="F38" i="1"/>
  <c r="F41" i="1" s="1"/>
  <c r="F32" i="1"/>
  <c r="F34" i="1" s="1"/>
  <c r="B32" i="1"/>
  <c r="B34" i="1" s="1"/>
  <c r="B40" i="1" s="1"/>
  <c r="N18" i="1"/>
  <c r="N21" i="1" s="1"/>
  <c r="N27" i="1" s="1"/>
  <c r="Z16" i="1"/>
  <c r="W16" i="1"/>
  <c r="Q18" i="1"/>
  <c r="Q21" i="1" s="1"/>
  <c r="Q27" i="1" s="1"/>
  <c r="E32" i="1"/>
  <c r="E34" i="1" s="1"/>
  <c r="H32" i="1"/>
  <c r="H34" i="1" s="1"/>
  <c r="H38" i="1"/>
  <c r="H41" i="1" s="1"/>
  <c r="E38" i="1"/>
  <c r="E41" i="1" s="1"/>
  <c r="F16" i="3" l="1"/>
  <c r="F20" i="3" s="1"/>
  <c r="E20" i="3"/>
  <c r="T25" i="3"/>
  <c r="W21" i="3"/>
  <c r="W25" i="3"/>
  <c r="Z25" i="3"/>
  <c r="M16" i="3"/>
  <c r="M23" i="3" s="1"/>
  <c r="V25" i="3"/>
  <c r="U21" i="3"/>
  <c r="U23" i="3"/>
  <c r="O13" i="3"/>
  <c r="X21" i="3"/>
  <c r="X23" i="3"/>
  <c r="P16" i="3"/>
  <c r="P23" i="3" s="1"/>
  <c r="Y25" i="3"/>
  <c r="O18" i="1"/>
  <c r="O21" i="1" s="1"/>
  <c r="O27" i="1" s="1"/>
  <c r="L13" i="3"/>
  <c r="G40" i="1"/>
  <c r="U16" i="1"/>
  <c r="X16" i="1"/>
  <c r="V19" i="1"/>
  <c r="U10" i="1"/>
  <c r="U18" i="1" s="1"/>
  <c r="X10" i="1"/>
  <c r="F40" i="1"/>
  <c r="W19" i="1"/>
  <c r="W18" i="1"/>
  <c r="H40" i="1"/>
  <c r="Z18" i="1"/>
  <c r="Z19" i="1"/>
  <c r="E40" i="1"/>
  <c r="X19" i="1" l="1"/>
  <c r="L16" i="3"/>
  <c r="L23" i="3" s="1"/>
  <c r="U25" i="3"/>
  <c r="O16" i="3"/>
  <c r="O23" i="3" s="1"/>
  <c r="X25" i="3"/>
  <c r="U19" i="1"/>
  <c r="X18" i="1"/>
</calcChain>
</file>

<file path=xl/sharedStrings.xml><?xml version="1.0" encoding="utf-8"?>
<sst xmlns="http://schemas.openxmlformats.org/spreadsheetml/2006/main" count="238" uniqueCount="83">
  <si>
    <t>收入</t>
    <phoneticPr fontId="2" type="noConversion"/>
  </si>
  <si>
    <t>銷售成本</t>
    <phoneticPr fontId="2" type="noConversion"/>
  </si>
  <si>
    <t>一般及行政開支</t>
    <phoneticPr fontId="2" type="noConversion"/>
  </si>
  <si>
    <t>其他</t>
    <phoneticPr fontId="2" type="noConversion"/>
  </si>
  <si>
    <t>利息</t>
    <phoneticPr fontId="2" type="noConversion"/>
  </si>
  <si>
    <t>聯營公司</t>
    <phoneticPr fontId="2" type="noConversion"/>
  </si>
  <si>
    <t>合營公司</t>
    <phoneticPr fontId="2" type="noConversion"/>
  </si>
  <si>
    <t>稅前溢利</t>
    <phoneticPr fontId="2" type="noConversion"/>
  </si>
  <si>
    <t>稅</t>
    <phoneticPr fontId="2" type="noConversion"/>
  </si>
  <si>
    <t>純利</t>
    <phoneticPr fontId="2" type="noConversion"/>
  </si>
  <si>
    <t>非控股權益</t>
    <phoneticPr fontId="2" type="noConversion"/>
  </si>
  <si>
    <t>每股盈利</t>
    <phoneticPr fontId="2" type="noConversion"/>
  </si>
  <si>
    <t>每股派息</t>
    <phoneticPr fontId="2" type="noConversion"/>
  </si>
  <si>
    <t>資產</t>
    <phoneticPr fontId="2" type="noConversion"/>
  </si>
  <si>
    <t>負債</t>
    <phoneticPr fontId="2" type="noConversion"/>
  </si>
  <si>
    <t>帳面值</t>
    <phoneticPr fontId="2" type="noConversion"/>
  </si>
  <si>
    <t>現金</t>
    <phoneticPr fontId="2" type="noConversion"/>
  </si>
  <si>
    <t>貸款</t>
    <phoneticPr fontId="2" type="noConversion"/>
  </si>
  <si>
    <t>淨貸款</t>
    <phoneticPr fontId="2" type="noConversion"/>
  </si>
  <si>
    <t>固定資產</t>
    <phoneticPr fontId="2" type="noConversion"/>
  </si>
  <si>
    <t>流動資產</t>
    <phoneticPr fontId="2" type="noConversion"/>
  </si>
  <si>
    <t>長債</t>
    <phoneticPr fontId="2" type="noConversion"/>
  </si>
  <si>
    <t>短債</t>
    <phoneticPr fontId="2" type="noConversion"/>
  </si>
  <si>
    <t>1H21</t>
    <phoneticPr fontId="2" type="noConversion"/>
  </si>
  <si>
    <t>1H20</t>
    <phoneticPr fontId="2" type="noConversion"/>
  </si>
  <si>
    <t>淨資產</t>
    <phoneticPr fontId="2" type="noConversion"/>
  </si>
  <si>
    <t>非控股樭益</t>
    <phoneticPr fontId="2" type="noConversion"/>
  </si>
  <si>
    <t>EBITDA</t>
    <phoneticPr fontId="2" type="noConversion"/>
  </si>
  <si>
    <t>股數</t>
    <phoneticPr fontId="2" type="noConversion"/>
  </si>
  <si>
    <t>本地電訊</t>
    <phoneticPr fontId="2" type="noConversion"/>
  </si>
  <si>
    <t>國際電訊</t>
    <phoneticPr fontId="2" type="noConversion"/>
  </si>
  <si>
    <t>電訊</t>
    <phoneticPr fontId="2" type="noConversion"/>
  </si>
  <si>
    <t>流動通訊</t>
    <phoneticPr fontId="2" type="noConversion"/>
  </si>
  <si>
    <t>收費電視</t>
    <phoneticPr fontId="2" type="noConversion"/>
  </si>
  <si>
    <t>抵銷</t>
    <phoneticPr fontId="2" type="noConversion"/>
  </si>
  <si>
    <t>總收入</t>
    <phoneticPr fontId="2" type="noConversion"/>
  </si>
  <si>
    <t>流動通訊產品銷售</t>
    <phoneticPr fontId="2" type="noConversion"/>
  </si>
  <si>
    <t>流動通訊服務</t>
    <phoneticPr fontId="2" type="noConversion"/>
  </si>
  <si>
    <t>總EBITDA Margin</t>
    <phoneticPr fontId="2" type="noConversion"/>
  </si>
  <si>
    <t>不計 流動通訊產品銷售</t>
    <phoneticPr fontId="2" type="noConversion"/>
  </si>
  <si>
    <t>NA</t>
    <phoneticPr fontId="2" type="noConversion"/>
  </si>
  <si>
    <t>賣嘢</t>
    <phoneticPr fontId="2" type="noConversion"/>
  </si>
  <si>
    <t>合營聯營</t>
    <phoneticPr fontId="2" type="noConversion"/>
  </si>
  <si>
    <t>EBITDA Margin</t>
    <phoneticPr fontId="2" type="noConversion"/>
  </si>
  <si>
    <t>稅前利潤</t>
    <phoneticPr fontId="2" type="noConversion"/>
  </si>
  <si>
    <t>2H20</t>
    <phoneticPr fontId="2" type="noConversion"/>
  </si>
  <si>
    <t>1H19</t>
    <phoneticPr fontId="2" type="noConversion"/>
  </si>
  <si>
    <t>2H19</t>
    <phoneticPr fontId="2" type="noConversion"/>
  </si>
  <si>
    <t>FY19</t>
    <phoneticPr fontId="2" type="noConversion"/>
  </si>
  <si>
    <t>FY20</t>
    <phoneticPr fontId="2" type="noConversion"/>
  </si>
  <si>
    <t>其他成本（非ITDA）</t>
    <phoneticPr fontId="2" type="noConversion"/>
  </si>
  <si>
    <t>折舊攤銷（DA)</t>
    <phoneticPr fontId="2" type="noConversion"/>
  </si>
  <si>
    <t>利息（I）</t>
    <phoneticPr fontId="2" type="noConversion"/>
  </si>
  <si>
    <t>永續債</t>
    <phoneticPr fontId="2" type="noConversion"/>
  </si>
  <si>
    <t xml:space="preserve">        GoodWill </t>
    <phoneticPr fontId="2" type="noConversion"/>
  </si>
  <si>
    <t xml:space="preserve">        無形資產</t>
    <phoneticPr fontId="2" type="noConversion"/>
  </si>
  <si>
    <t xml:space="preserve">      內部收益</t>
    <phoneticPr fontId="2" type="noConversion"/>
  </si>
  <si>
    <t>淨負債/資產</t>
    <phoneticPr fontId="2" type="noConversion"/>
  </si>
  <si>
    <t>淨負債/淨資產</t>
    <phoneticPr fontId="2" type="noConversion"/>
  </si>
  <si>
    <t>香港電訊</t>
    <phoneticPr fontId="2" type="noConversion"/>
  </si>
  <si>
    <t>香港電訊 不計產品銷售</t>
    <phoneticPr fontId="2" type="noConversion"/>
  </si>
  <si>
    <t>香港電訊 產品銷售</t>
    <phoneticPr fontId="2" type="noConversion"/>
  </si>
  <si>
    <t>OTT</t>
    <phoneticPr fontId="2" type="noConversion"/>
  </si>
  <si>
    <t>免費電視（VIU)</t>
    <phoneticPr fontId="2" type="noConversion"/>
  </si>
  <si>
    <t>企業方案</t>
    <phoneticPr fontId="2" type="noConversion"/>
  </si>
  <si>
    <t>核心收入</t>
    <phoneticPr fontId="2" type="noConversion"/>
  </si>
  <si>
    <t>盈大地產</t>
    <phoneticPr fontId="2" type="noConversion"/>
  </si>
  <si>
    <t>收費電視（NOW)（20年8月賣咗）</t>
    <phoneticPr fontId="2" type="noConversion"/>
  </si>
  <si>
    <t>　　折舊攤銷（DA)</t>
    <phoneticPr fontId="2" type="noConversion"/>
  </si>
  <si>
    <t>折舊（D)</t>
    <phoneticPr fontId="2" type="noConversion"/>
  </si>
  <si>
    <t>攤銷  (A)</t>
    <phoneticPr fontId="2" type="noConversion"/>
  </si>
  <si>
    <t xml:space="preserve">    折舊（D)</t>
    <phoneticPr fontId="2" type="noConversion"/>
  </si>
  <si>
    <t xml:space="preserve">    攤銷  (A)</t>
    <phoneticPr fontId="2" type="noConversion"/>
  </si>
  <si>
    <t>核心EBITA</t>
    <phoneticPr fontId="2" type="noConversion"/>
  </si>
  <si>
    <t>6 8 2 3</t>
    <phoneticPr fontId="2" type="noConversion"/>
  </si>
  <si>
    <t xml:space="preserve"> 6 8 2 3</t>
    <phoneticPr fontId="2" type="noConversion"/>
  </si>
  <si>
    <t>PCCW</t>
    <phoneticPr fontId="2" type="noConversion"/>
  </si>
  <si>
    <t xml:space="preserve">      本地數據</t>
    <phoneticPr fontId="2" type="noConversion"/>
  </si>
  <si>
    <t xml:space="preserve">      本地電話</t>
    <phoneticPr fontId="2" type="noConversion"/>
  </si>
  <si>
    <t xml:space="preserve">      其他</t>
    <phoneticPr fontId="2" type="noConversion"/>
  </si>
  <si>
    <t>流動通訊ARPU</t>
    <phoneticPr fontId="2" type="noConversion"/>
  </si>
  <si>
    <t>Now 客戶（千）</t>
    <phoneticPr fontId="2" type="noConversion"/>
  </si>
  <si>
    <t>收費電視（NOW)（20年8月開始）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</si>
</sst>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0.000"/>
    <numFmt numFmtId="177" formatCode="0.0%"/>
  </numFmts>
  <fonts count="8" x14ac:knownFonts="1">
    <font>
      <sz val="12"/>
      <color theme="1"/>
      <name val="新細明體"/>
      <family val="2"/>
      <charset val="136"/>
      <scheme val="minor"/>
    </font>
    <font>
      <sz val="12"/>
      <color theme="1"/>
      <name val="新細明體"/>
      <family val="2"/>
      <charset val="136"/>
      <scheme val="minor"/>
    </font>
    <font>
      <sz val="9"/>
      <name val="新細明體"/>
      <family val="2"/>
      <charset val="136"/>
      <scheme val="minor"/>
    </font>
    <font>
      <sz val="8"/>
      <color theme="1"/>
      <name val="新細明體"/>
      <family val="2"/>
      <charset val="136"/>
      <scheme val="minor"/>
    </font>
    <font>
      <b/>
      <sz val="12"/>
      <color theme="1"/>
      <name val="新細明體"/>
      <family val="1"/>
      <charset val="136"/>
      <scheme val="minor"/>
    </font>
    <font>
      <sz val="8"/>
      <color theme="1"/>
      <name val="新細明體"/>
      <family val="1"/>
      <charset val="136"/>
      <scheme val="minor"/>
    </font>
    <font>
      <sz val="10"/>
      <color theme="1"/>
      <name val="新細明體"/>
      <family val="2"/>
      <charset val="136"/>
      <scheme val="minor"/>
    </font>
    <font>
      <sz val="10"/>
      <color theme="1"/>
      <name val="新細明體"/>
      <family val="1"/>
      <charset val="136"/>
      <scheme val="minor"/>
    </font>
  </fonts>
  <fills count="10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rgb="FFFFCCCC"/>
        <bgColor indexed="64"/>
      </patternFill>
    </fill>
    <fill>
      <patternFill patternType="solid">
        <fgColor rgb="FFFF00FF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0000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9" fontId="1" fillId="0" borderId="0" applyFont="0" applyFill="0" applyBorder="0" applyAlignment="0" applyProtection="0">
      <alignment vertical="center"/>
    </xf>
  </cellStyleXfs>
  <cellXfs count="49">
    <xf numFmtId="0" fontId="0" fillId="0" borderId="0" xfId="0">
      <alignment vertical="center"/>
    </xf>
    <xf numFmtId="38" fontId="0" fillId="0" borderId="0" xfId="0" applyNumberFormat="1">
      <alignment vertical="center"/>
    </xf>
    <xf numFmtId="0" fontId="0" fillId="0" borderId="1" xfId="0" applyBorder="1">
      <alignment vertical="center"/>
    </xf>
    <xf numFmtId="38" fontId="0" fillId="0" borderId="1" xfId="0" applyNumberFormat="1" applyBorder="1">
      <alignment vertical="center"/>
    </xf>
    <xf numFmtId="176" fontId="0" fillId="0" borderId="0" xfId="0" applyNumberFormat="1">
      <alignment vertical="center"/>
    </xf>
    <xf numFmtId="177" fontId="0" fillId="0" borderId="0" xfId="1" applyNumberFormat="1" applyFont="1">
      <alignment vertical="center"/>
    </xf>
    <xf numFmtId="177" fontId="0" fillId="0" borderId="0" xfId="1" applyNumberFormat="1" applyFont="1" applyAlignment="1">
      <alignment horizontal="right" vertical="center"/>
    </xf>
    <xf numFmtId="0" fontId="4" fillId="0" borderId="0" xfId="0" applyFont="1">
      <alignment vertical="center"/>
    </xf>
    <xf numFmtId="0" fontId="3" fillId="0" borderId="0" xfId="0" applyFont="1">
      <alignment vertical="center"/>
    </xf>
    <xf numFmtId="38" fontId="5" fillId="0" borderId="0" xfId="0" applyNumberFormat="1" applyFont="1">
      <alignment vertical="center"/>
    </xf>
    <xf numFmtId="0" fontId="5" fillId="0" borderId="1" xfId="0" applyFont="1" applyBorder="1">
      <alignment vertical="center"/>
    </xf>
    <xf numFmtId="38" fontId="5" fillId="0" borderId="1" xfId="0" applyNumberFormat="1" applyFont="1" applyBorder="1">
      <alignment vertical="center"/>
    </xf>
    <xf numFmtId="0" fontId="6" fillId="0" borderId="0" xfId="0" applyFont="1">
      <alignment vertical="center"/>
    </xf>
    <xf numFmtId="177" fontId="7" fillId="0" borderId="0" xfId="1" applyNumberFormat="1" applyFont="1">
      <alignment vertical="center"/>
    </xf>
    <xf numFmtId="0" fontId="0" fillId="2" borderId="0" xfId="0" applyFill="1">
      <alignment vertical="center"/>
    </xf>
    <xf numFmtId="38" fontId="0" fillId="2" borderId="0" xfId="0" applyNumberFormat="1" applyFill="1">
      <alignment vertical="center"/>
    </xf>
    <xf numFmtId="0" fontId="0" fillId="3" borderId="0" xfId="0" applyFill="1">
      <alignment vertical="center"/>
    </xf>
    <xf numFmtId="38" fontId="0" fillId="3" borderId="0" xfId="0" applyNumberFormat="1" applyFill="1">
      <alignment vertical="center"/>
    </xf>
    <xf numFmtId="0" fontId="0" fillId="4" borderId="0" xfId="0" applyFill="1">
      <alignment vertical="center"/>
    </xf>
    <xf numFmtId="38" fontId="0" fillId="4" borderId="0" xfId="0" applyNumberFormat="1" applyFill="1">
      <alignment vertical="center"/>
    </xf>
    <xf numFmtId="0" fontId="0" fillId="5" borderId="0" xfId="0" applyFill="1">
      <alignment vertical="center"/>
    </xf>
    <xf numFmtId="38" fontId="0" fillId="5" borderId="0" xfId="0" applyNumberFormat="1" applyFill="1">
      <alignment vertical="center"/>
    </xf>
    <xf numFmtId="38" fontId="7" fillId="0" borderId="0" xfId="0" applyNumberFormat="1" applyFont="1">
      <alignment vertical="center"/>
    </xf>
    <xf numFmtId="38" fontId="3" fillId="0" borderId="0" xfId="0" applyNumberFormat="1" applyFont="1">
      <alignment vertical="center"/>
    </xf>
    <xf numFmtId="9" fontId="0" fillId="0" borderId="0" xfId="1" applyFont="1">
      <alignment vertical="center"/>
    </xf>
    <xf numFmtId="0" fontId="0" fillId="0" borderId="0" xfId="0" applyFill="1">
      <alignment vertical="center"/>
    </xf>
    <xf numFmtId="38" fontId="0" fillId="0" borderId="0" xfId="0" applyNumberFormat="1" applyFill="1">
      <alignment vertical="center"/>
    </xf>
    <xf numFmtId="0" fontId="0" fillId="0" borderId="1" xfId="0" applyFill="1" applyBorder="1">
      <alignment vertical="center"/>
    </xf>
    <xf numFmtId="38" fontId="0" fillId="0" borderId="1" xfId="0" applyNumberFormat="1" applyFill="1" applyBorder="1">
      <alignment vertical="center"/>
    </xf>
    <xf numFmtId="0" fontId="5" fillId="0" borderId="0" xfId="0" applyFont="1">
      <alignment vertical="center"/>
    </xf>
    <xf numFmtId="177" fontId="0" fillId="0" borderId="0" xfId="1" applyNumberFormat="1" applyFont="1" applyFill="1">
      <alignment vertical="center"/>
    </xf>
    <xf numFmtId="0" fontId="0" fillId="0" borderId="0" xfId="0" applyFill="1" applyBorder="1">
      <alignment vertical="center"/>
    </xf>
    <xf numFmtId="0" fontId="0" fillId="6" borderId="0" xfId="0" applyFill="1">
      <alignment vertical="center"/>
    </xf>
    <xf numFmtId="38" fontId="0" fillId="6" borderId="0" xfId="0" applyNumberFormat="1" applyFill="1">
      <alignment vertical="center"/>
    </xf>
    <xf numFmtId="0" fontId="0" fillId="8" borderId="0" xfId="0" applyFill="1">
      <alignment vertical="center"/>
    </xf>
    <xf numFmtId="38" fontId="0" fillId="8" borderId="0" xfId="0" applyNumberFormat="1" applyFill="1">
      <alignment vertical="center"/>
    </xf>
    <xf numFmtId="177" fontId="0" fillId="0" borderId="0" xfId="1" applyNumberFormat="1" applyFont="1" applyFill="1" applyAlignment="1">
      <alignment horizontal="right" vertical="center"/>
    </xf>
    <xf numFmtId="0" fontId="7" fillId="6" borderId="0" xfId="0" applyFont="1" applyFill="1">
      <alignment vertical="center"/>
    </xf>
    <xf numFmtId="38" fontId="7" fillId="6" borderId="0" xfId="0" applyNumberFormat="1" applyFont="1" applyFill="1">
      <alignment vertical="center"/>
    </xf>
    <xf numFmtId="0" fontId="7" fillId="8" borderId="0" xfId="0" applyFont="1" applyFill="1">
      <alignment vertical="center"/>
    </xf>
    <xf numFmtId="38" fontId="7" fillId="8" borderId="0" xfId="0" applyNumberFormat="1" applyFont="1" applyFill="1">
      <alignment vertical="center"/>
    </xf>
    <xf numFmtId="0" fontId="7" fillId="0" borderId="0" xfId="0" applyFont="1">
      <alignment vertical="center"/>
    </xf>
    <xf numFmtId="0" fontId="7" fillId="0" borderId="1" xfId="0" applyFont="1" applyBorder="1">
      <alignment vertical="center"/>
    </xf>
    <xf numFmtId="38" fontId="7" fillId="0" borderId="1" xfId="0" applyNumberFormat="1" applyFont="1" applyBorder="1">
      <alignment vertical="center"/>
    </xf>
    <xf numFmtId="0" fontId="7" fillId="0" borderId="0" xfId="0" applyFont="1" applyBorder="1">
      <alignment vertical="center"/>
    </xf>
    <xf numFmtId="40" fontId="0" fillId="0" borderId="0" xfId="0" applyNumberFormat="1">
      <alignment vertical="center"/>
    </xf>
    <xf numFmtId="0" fontId="0" fillId="7" borderId="0" xfId="0" applyFill="1" applyAlignment="1">
      <alignment horizontal="center" vertical="center"/>
    </xf>
    <xf numFmtId="0" fontId="0" fillId="9" borderId="0" xfId="0" applyFont="1" applyFill="1" applyAlignment="1">
      <alignment horizontal="center" vertical="center"/>
    </xf>
    <xf numFmtId="0" fontId="0" fillId="9" borderId="0" xfId="0" applyFill="1" applyAlignment="1">
      <alignment horizontal="center" vertical="center"/>
    </xf>
  </cellXfs>
  <cellStyles count="2">
    <cellStyle name="一般" xfId="0" builtinId="0"/>
    <cellStyle name="百分比" xfId="1" builtinId="5"/>
  </cellStyles>
  <dxfs count="0"/>
  <tableStyles count="0" defaultTableStyle="TableStyleMedium2" defaultPivotStyle="PivotStyleLight16"/>
  <colors>
    <mruColors>
      <color rgb="FFFF00FF"/>
      <color rgb="FFFFCC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9DCB793-80BF-4783-B8DC-F1F58B3FE808}">
  <dimension ref="A1:Z44"/>
  <sheetViews>
    <sheetView tabSelected="1" zoomScale="85" zoomScaleNormal="85" workbookViewId="0">
      <pane ySplit="2" topLeftCell="A3" activePane="bottomLeft" state="frozen"/>
      <selection pane="bottomLeft" activeCell="O9" sqref="O9"/>
    </sheetView>
  </sheetViews>
  <sheetFormatPr defaultRowHeight="16.5" x14ac:dyDescent="0.25"/>
  <cols>
    <col min="1" max="1" width="16.125" bestFit="1" customWidth="1"/>
    <col min="2" max="3" width="10" customWidth="1"/>
    <col min="4" max="4" width="10" hidden="1" customWidth="1"/>
    <col min="5" max="6" width="10" customWidth="1"/>
    <col min="7" max="7" width="10" hidden="1" customWidth="1"/>
    <col min="8" max="8" width="10" customWidth="1"/>
    <col min="10" max="10" width="34" bestFit="1" customWidth="1"/>
    <col min="11" max="11" width="9" customWidth="1"/>
    <col min="13" max="13" width="0" hidden="1" customWidth="1"/>
    <col min="16" max="16" width="0" hidden="1" customWidth="1"/>
    <col min="19" max="19" width="23.25" bestFit="1" customWidth="1"/>
    <col min="22" max="22" width="0" hidden="1" customWidth="1"/>
    <col min="25" max="25" width="0" hidden="1" customWidth="1"/>
  </cols>
  <sheetData>
    <row r="1" spans="1:26" x14ac:dyDescent="0.25">
      <c r="A1" s="46" t="s">
        <v>76</v>
      </c>
      <c r="B1" s="46"/>
      <c r="C1" s="46"/>
      <c r="D1" s="46"/>
      <c r="E1" s="46"/>
      <c r="F1" s="46"/>
      <c r="G1" s="46"/>
      <c r="H1" s="46"/>
      <c r="J1" s="46" t="s">
        <v>76</v>
      </c>
      <c r="K1" s="46"/>
      <c r="L1" s="46"/>
      <c r="M1" s="46"/>
      <c r="N1" s="46"/>
      <c r="O1" s="46"/>
      <c r="P1" s="46"/>
      <c r="Q1" s="46"/>
      <c r="S1" s="46" t="s">
        <v>76</v>
      </c>
      <c r="T1" s="46"/>
      <c r="U1" s="46"/>
      <c r="V1" s="46"/>
      <c r="W1" s="46"/>
      <c r="X1" s="46"/>
      <c r="Y1" s="46"/>
      <c r="Z1" s="46"/>
    </row>
    <row r="2" spans="1:26" x14ac:dyDescent="0.25">
      <c r="B2" t="s">
        <v>46</v>
      </c>
      <c r="C2" t="s">
        <v>47</v>
      </c>
      <c r="D2" t="s">
        <v>48</v>
      </c>
      <c r="E2" t="s">
        <v>24</v>
      </c>
      <c r="F2" t="s">
        <v>45</v>
      </c>
      <c r="G2" t="s">
        <v>49</v>
      </c>
      <c r="H2" t="s">
        <v>23</v>
      </c>
      <c r="J2" s="7" t="s">
        <v>0</v>
      </c>
      <c r="K2" t="s">
        <v>46</v>
      </c>
      <c r="L2" t="s">
        <v>47</v>
      </c>
      <c r="M2" t="s">
        <v>48</v>
      </c>
      <c r="N2" t="s">
        <v>24</v>
      </c>
      <c r="O2" t="s">
        <v>45</v>
      </c>
      <c r="P2" t="s">
        <v>49</v>
      </c>
      <c r="Q2" t="s">
        <v>23</v>
      </c>
      <c r="T2" t="s">
        <v>46</v>
      </c>
      <c r="U2" t="s">
        <v>47</v>
      </c>
      <c r="V2" t="s">
        <v>48</v>
      </c>
      <c r="W2" t="s">
        <v>24</v>
      </c>
      <c r="X2" t="s">
        <v>45</v>
      </c>
      <c r="Y2" t="s">
        <v>49</v>
      </c>
      <c r="Z2" t="s">
        <v>23</v>
      </c>
    </row>
    <row r="3" spans="1:26" x14ac:dyDescent="0.25">
      <c r="A3" s="16" t="s">
        <v>0</v>
      </c>
      <c r="B3" s="17">
        <v>16859</v>
      </c>
      <c r="C3" s="17">
        <f>D3-B3</f>
        <v>20662</v>
      </c>
      <c r="D3" s="17">
        <v>37521</v>
      </c>
      <c r="E3" s="17">
        <v>18281</v>
      </c>
      <c r="F3" s="17">
        <f>G3-E3</f>
        <v>19765</v>
      </c>
      <c r="G3" s="17">
        <v>38046</v>
      </c>
      <c r="H3" s="17">
        <v>18355</v>
      </c>
      <c r="J3" s="41" t="s">
        <v>61</v>
      </c>
      <c r="K3" s="22">
        <v>1341</v>
      </c>
      <c r="L3" s="22">
        <f t="shared" ref="L3:L12" si="0">M3-K3</f>
        <v>2059</v>
      </c>
      <c r="M3" s="22">
        <v>3400</v>
      </c>
      <c r="N3" s="22">
        <v>970</v>
      </c>
      <c r="O3" s="22">
        <f t="shared" ref="O3:O12" si="1">P3-N3</f>
        <v>1639</v>
      </c>
      <c r="P3" s="22">
        <v>2609</v>
      </c>
      <c r="Q3" s="22">
        <v>1531</v>
      </c>
      <c r="S3" s="7" t="s">
        <v>27</v>
      </c>
      <c r="T3" t="s">
        <v>46</v>
      </c>
      <c r="U3" t="s">
        <v>47</v>
      </c>
      <c r="V3" t="s">
        <v>48</v>
      </c>
      <c r="W3" t="s">
        <v>24</v>
      </c>
      <c r="X3" t="s">
        <v>45</v>
      </c>
      <c r="Y3" t="s">
        <v>49</v>
      </c>
      <c r="Z3" t="s">
        <v>23</v>
      </c>
    </row>
    <row r="4" spans="1:26" x14ac:dyDescent="0.25">
      <c r="A4" t="s">
        <v>1</v>
      </c>
      <c r="B4" s="1">
        <v>-8149</v>
      </c>
      <c r="C4" s="1">
        <f t="shared" ref="C4:C16" si="2">D4-B4</f>
        <v>-10758</v>
      </c>
      <c r="D4" s="1">
        <v>-18907</v>
      </c>
      <c r="E4" s="1">
        <v>-9689</v>
      </c>
      <c r="F4" s="1">
        <f t="shared" ref="F4:F16" si="3">G4-E4</f>
        <v>-10807</v>
      </c>
      <c r="G4" s="1">
        <v>-20496</v>
      </c>
      <c r="H4" s="1">
        <v>-9815</v>
      </c>
      <c r="J4" s="42" t="s">
        <v>60</v>
      </c>
      <c r="K4" s="43">
        <v>13768</v>
      </c>
      <c r="L4" s="43">
        <f t="shared" si="0"/>
        <v>15935</v>
      </c>
      <c r="M4" s="43">
        <v>29703</v>
      </c>
      <c r="N4" s="43">
        <v>13636</v>
      </c>
      <c r="O4" s="43">
        <f t="shared" si="1"/>
        <v>16144</v>
      </c>
      <c r="P4" s="43">
        <v>29780</v>
      </c>
      <c r="Q4" s="43">
        <v>14112</v>
      </c>
      <c r="S4" t="s">
        <v>59</v>
      </c>
      <c r="T4" s="1">
        <v>5733</v>
      </c>
      <c r="U4" s="1">
        <f t="shared" ref="U4:U10" si="4">V4-T4</f>
        <v>7084</v>
      </c>
      <c r="V4" s="1">
        <v>12817</v>
      </c>
      <c r="W4" s="1">
        <v>5546</v>
      </c>
      <c r="X4" s="1">
        <f t="shared" ref="X4:X10" si="5">Y4-W4</f>
        <v>6981</v>
      </c>
      <c r="Y4" s="1">
        <v>12527</v>
      </c>
      <c r="Z4" s="1">
        <v>5715</v>
      </c>
    </row>
    <row r="5" spans="1:26" x14ac:dyDescent="0.25">
      <c r="A5" t="s">
        <v>2</v>
      </c>
      <c r="B5" s="1">
        <v>-6739</v>
      </c>
      <c r="C5" s="1">
        <f t="shared" si="2"/>
        <v>-6723</v>
      </c>
      <c r="D5" s="1">
        <v>-13462</v>
      </c>
      <c r="E5" s="1">
        <v>-6901</v>
      </c>
      <c r="F5" s="1">
        <f t="shared" si="3"/>
        <v>-6555</v>
      </c>
      <c r="G5" s="1">
        <v>-13456</v>
      </c>
      <c r="H5" s="1">
        <v>-6822</v>
      </c>
      <c r="J5" t="s">
        <v>59</v>
      </c>
      <c r="K5" s="1">
        <f>K3+K4</f>
        <v>15109</v>
      </c>
      <c r="L5" s="1">
        <f t="shared" si="0"/>
        <v>17994</v>
      </c>
      <c r="M5" s="1">
        <f>M3+M4</f>
        <v>33103</v>
      </c>
      <c r="N5" s="1">
        <f>N3+N4</f>
        <v>14606</v>
      </c>
      <c r="O5" s="1">
        <f t="shared" si="1"/>
        <v>17783</v>
      </c>
      <c r="P5" s="1">
        <f>P3+P4</f>
        <v>32389</v>
      </c>
      <c r="Q5" s="1">
        <f>Q3+Q4</f>
        <v>15643</v>
      </c>
      <c r="S5" t="s">
        <v>67</v>
      </c>
      <c r="T5" s="1">
        <v>204</v>
      </c>
      <c r="U5" s="1">
        <f t="shared" si="4"/>
        <v>250</v>
      </c>
      <c r="V5" s="1">
        <v>454</v>
      </c>
      <c r="W5" s="1">
        <v>198</v>
      </c>
      <c r="X5" s="1">
        <f t="shared" si="5"/>
        <v>82</v>
      </c>
      <c r="Y5" s="1">
        <v>280</v>
      </c>
      <c r="Z5" s="1">
        <v>0</v>
      </c>
    </row>
    <row r="6" spans="1:26" x14ac:dyDescent="0.25">
      <c r="A6" s="37" t="s">
        <v>71</v>
      </c>
      <c r="B6" s="38">
        <v>-1604</v>
      </c>
      <c r="C6" s="38">
        <f t="shared" si="2"/>
        <v>-1761</v>
      </c>
      <c r="D6" s="38">
        <v>-3365</v>
      </c>
      <c r="E6" s="38">
        <v>-1772</v>
      </c>
      <c r="F6" s="38">
        <f t="shared" si="3"/>
        <v>-1757</v>
      </c>
      <c r="G6" s="38">
        <v>-3529</v>
      </c>
      <c r="H6" s="38">
        <v>-1713</v>
      </c>
      <c r="J6" t="s">
        <v>67</v>
      </c>
      <c r="K6" s="1">
        <v>1358</v>
      </c>
      <c r="L6" s="1">
        <f t="shared" si="0"/>
        <v>1327</v>
      </c>
      <c r="M6" s="1">
        <v>2685</v>
      </c>
      <c r="N6" s="1">
        <v>1270</v>
      </c>
      <c r="O6" s="1">
        <f t="shared" si="1"/>
        <v>595</v>
      </c>
      <c r="P6" s="1">
        <v>1865</v>
      </c>
      <c r="Q6" s="1">
        <v>0</v>
      </c>
      <c r="S6" t="s">
        <v>62</v>
      </c>
      <c r="T6" s="1">
        <v>-235</v>
      </c>
      <c r="U6" s="1">
        <f t="shared" si="4"/>
        <v>-79</v>
      </c>
      <c r="V6" s="1">
        <v>-314</v>
      </c>
      <c r="W6" s="1">
        <v>-81</v>
      </c>
      <c r="X6" s="1">
        <f t="shared" si="5"/>
        <v>-72</v>
      </c>
      <c r="Y6" s="1">
        <v>-153</v>
      </c>
      <c r="Z6" s="1">
        <v>-20</v>
      </c>
    </row>
    <row r="7" spans="1:26" x14ac:dyDescent="0.25">
      <c r="A7" s="39" t="s">
        <v>72</v>
      </c>
      <c r="B7" s="40">
        <v>-1710</v>
      </c>
      <c r="C7" s="40">
        <f t="shared" si="2"/>
        <v>-2147</v>
      </c>
      <c r="D7" s="40">
        <v>-3857</v>
      </c>
      <c r="E7" s="40">
        <v>-1953</v>
      </c>
      <c r="F7" s="40">
        <f t="shared" si="3"/>
        <v>-2401</v>
      </c>
      <c r="G7" s="40">
        <v>-4354</v>
      </c>
      <c r="H7" s="40">
        <v>-2174</v>
      </c>
      <c r="J7" t="s">
        <v>62</v>
      </c>
      <c r="K7" s="1">
        <v>441</v>
      </c>
      <c r="L7" s="1">
        <f t="shared" si="0"/>
        <v>630</v>
      </c>
      <c r="M7" s="1">
        <v>1071</v>
      </c>
      <c r="N7" s="1">
        <v>502</v>
      </c>
      <c r="O7" s="1">
        <f t="shared" si="1"/>
        <v>685</v>
      </c>
      <c r="P7" s="1">
        <v>1187</v>
      </c>
      <c r="Q7" s="1">
        <v>646</v>
      </c>
      <c r="S7" t="s">
        <v>63</v>
      </c>
      <c r="T7" s="1">
        <v>-143</v>
      </c>
      <c r="U7" s="1">
        <f t="shared" si="4"/>
        <v>-130</v>
      </c>
      <c r="V7" s="1">
        <v>-273</v>
      </c>
      <c r="W7" s="1">
        <v>-95</v>
      </c>
      <c r="X7" s="1">
        <f t="shared" si="5"/>
        <v>-70</v>
      </c>
      <c r="Y7" s="1">
        <v>-165</v>
      </c>
      <c r="Z7" s="1">
        <v>-44</v>
      </c>
    </row>
    <row r="8" spans="1:26" x14ac:dyDescent="0.25">
      <c r="A8" t="s">
        <v>3</v>
      </c>
      <c r="B8" s="1">
        <v>426</v>
      </c>
      <c r="C8" s="1">
        <f t="shared" si="2"/>
        <v>72</v>
      </c>
      <c r="D8" s="1">
        <v>498</v>
      </c>
      <c r="E8" s="1">
        <v>-61</v>
      </c>
      <c r="F8" s="1">
        <f t="shared" si="3"/>
        <v>-731</v>
      </c>
      <c r="G8" s="1">
        <v>-792</v>
      </c>
      <c r="H8" s="1">
        <v>4</v>
      </c>
      <c r="J8" t="s">
        <v>63</v>
      </c>
      <c r="K8" s="1">
        <v>127</v>
      </c>
      <c r="L8" s="1">
        <f t="shared" si="0"/>
        <v>132</v>
      </c>
      <c r="M8" s="1">
        <v>259</v>
      </c>
      <c r="N8" s="1">
        <v>130</v>
      </c>
      <c r="O8" s="1">
        <f t="shared" si="1"/>
        <v>187</v>
      </c>
      <c r="P8" s="1">
        <v>317</v>
      </c>
      <c r="Q8" s="1">
        <v>256</v>
      </c>
      <c r="S8" t="s">
        <v>64</v>
      </c>
      <c r="T8" s="1">
        <v>293</v>
      </c>
      <c r="U8" s="1">
        <f t="shared" si="4"/>
        <v>721</v>
      </c>
      <c r="V8" s="1">
        <v>1014</v>
      </c>
      <c r="W8" s="1">
        <v>225</v>
      </c>
      <c r="X8" s="1">
        <f t="shared" si="5"/>
        <v>569</v>
      </c>
      <c r="Y8" s="1">
        <v>794</v>
      </c>
      <c r="Z8" s="1">
        <v>491</v>
      </c>
    </row>
    <row r="9" spans="1:26" x14ac:dyDescent="0.25">
      <c r="A9" s="20" t="s">
        <v>4</v>
      </c>
      <c r="B9" s="21">
        <f>40-925</f>
        <v>-885</v>
      </c>
      <c r="C9" s="21">
        <f t="shared" si="2"/>
        <v>-987</v>
      </c>
      <c r="D9" s="21">
        <f>86-1958</f>
        <v>-1872</v>
      </c>
      <c r="E9" s="21">
        <f>35-998</f>
        <v>-963</v>
      </c>
      <c r="F9" s="21">
        <f t="shared" si="3"/>
        <v>-906</v>
      </c>
      <c r="G9" s="21">
        <f>50-1919</f>
        <v>-1869</v>
      </c>
      <c r="H9" s="21">
        <f>15-865</f>
        <v>-850</v>
      </c>
      <c r="J9" t="s">
        <v>64</v>
      </c>
      <c r="K9" s="1">
        <v>1717</v>
      </c>
      <c r="L9" s="1">
        <f t="shared" si="0"/>
        <v>2501</v>
      </c>
      <c r="M9" s="1">
        <v>4218</v>
      </c>
      <c r="N9" s="1">
        <v>1907</v>
      </c>
      <c r="O9" s="1">
        <f t="shared" si="1"/>
        <v>2829</v>
      </c>
      <c r="P9" s="1">
        <v>4736</v>
      </c>
      <c r="Q9" s="1">
        <v>2886</v>
      </c>
      <c r="S9" t="s">
        <v>3</v>
      </c>
      <c r="T9" s="1">
        <v>-233</v>
      </c>
      <c r="U9" s="1">
        <f t="shared" si="4"/>
        <v>-276</v>
      </c>
      <c r="V9" s="1">
        <v>-509</v>
      </c>
      <c r="W9" s="1">
        <v>-248</v>
      </c>
      <c r="X9" s="1">
        <f t="shared" si="5"/>
        <v>-212</v>
      </c>
      <c r="Y9" s="1">
        <v>-460</v>
      </c>
      <c r="Z9" s="1">
        <v>-237</v>
      </c>
    </row>
    <row r="10" spans="1:26" x14ac:dyDescent="0.25">
      <c r="A10" t="s">
        <v>5</v>
      </c>
      <c r="B10" s="1">
        <v>22</v>
      </c>
      <c r="C10" s="1">
        <f t="shared" si="2"/>
        <v>32</v>
      </c>
      <c r="D10" s="1">
        <v>54</v>
      </c>
      <c r="E10" s="1">
        <v>-10</v>
      </c>
      <c r="F10" s="1">
        <f t="shared" si="3"/>
        <v>4</v>
      </c>
      <c r="G10" s="1">
        <v>-6</v>
      </c>
      <c r="H10" s="1">
        <v>-20</v>
      </c>
      <c r="J10" s="2" t="s">
        <v>34</v>
      </c>
      <c r="K10" s="3">
        <v>-2100</v>
      </c>
      <c r="L10" s="3">
        <f t="shared" si="0"/>
        <v>-2730</v>
      </c>
      <c r="M10" s="3">
        <v>-4830</v>
      </c>
      <c r="N10" s="3">
        <v>-1736</v>
      </c>
      <c r="O10" s="3">
        <f t="shared" si="1"/>
        <v>-2555</v>
      </c>
      <c r="P10" s="3">
        <v>-4291</v>
      </c>
      <c r="Q10" s="3">
        <v>-1288</v>
      </c>
      <c r="S10" s="2" t="s">
        <v>34</v>
      </c>
      <c r="T10" s="3">
        <v>-312</v>
      </c>
      <c r="U10" s="3">
        <f t="shared" si="4"/>
        <v>-538</v>
      </c>
      <c r="V10" s="3">
        <v>-850</v>
      </c>
      <c r="W10" s="3">
        <v>-149</v>
      </c>
      <c r="X10" s="3">
        <f t="shared" si="5"/>
        <v>-724</v>
      </c>
      <c r="Y10" s="3">
        <v>-873</v>
      </c>
      <c r="Z10" s="3">
        <v>-195</v>
      </c>
    </row>
    <row r="11" spans="1:26" x14ac:dyDescent="0.25">
      <c r="A11" s="2" t="s">
        <v>6</v>
      </c>
      <c r="B11" s="3">
        <v>-12</v>
      </c>
      <c r="C11" s="3">
        <f t="shared" si="2"/>
        <v>-9</v>
      </c>
      <c r="D11" s="3">
        <v>-21</v>
      </c>
      <c r="E11" s="3">
        <v>-9</v>
      </c>
      <c r="F11" s="3">
        <f t="shared" si="3"/>
        <v>-10</v>
      </c>
      <c r="G11" s="3">
        <v>-19</v>
      </c>
      <c r="H11" s="3">
        <v>-10</v>
      </c>
      <c r="J11" s="25" t="s">
        <v>65</v>
      </c>
      <c r="K11" s="26">
        <f>SUM(K5:K10)</f>
        <v>16652</v>
      </c>
      <c r="L11" s="26">
        <f t="shared" si="0"/>
        <v>19854</v>
      </c>
      <c r="M11" s="26">
        <f>SUM(M5:M10)</f>
        <v>36506</v>
      </c>
      <c r="N11" s="26">
        <f>SUM(N5:N10)</f>
        <v>16679</v>
      </c>
      <c r="O11" s="26">
        <f>SUM(O5:O10)</f>
        <v>19524</v>
      </c>
      <c r="P11" s="26">
        <f>SUM(P5:P10)</f>
        <v>36203</v>
      </c>
      <c r="Q11" s="26">
        <f>SUM(Q5:Q10)</f>
        <v>18143</v>
      </c>
      <c r="S11" t="s">
        <v>73</v>
      </c>
      <c r="T11" s="1">
        <f t="shared" ref="T11:Y11" si="6">SUM(T4:T10)</f>
        <v>5307</v>
      </c>
      <c r="U11" s="1">
        <f t="shared" si="6"/>
        <v>7032</v>
      </c>
      <c r="V11" s="1">
        <f>SUM(V4:V10)</f>
        <v>12339</v>
      </c>
      <c r="W11" s="1">
        <f>SUM(W4:W10)</f>
        <v>5396</v>
      </c>
      <c r="X11" s="1">
        <f t="shared" si="6"/>
        <v>6554</v>
      </c>
      <c r="Y11" s="1">
        <f t="shared" si="6"/>
        <v>11950</v>
      </c>
      <c r="Z11" s="1">
        <f>SUM(Z4:Z10)</f>
        <v>5710</v>
      </c>
    </row>
    <row r="12" spans="1:26" x14ac:dyDescent="0.25">
      <c r="A12" s="18" t="s">
        <v>7</v>
      </c>
      <c r="B12" s="19">
        <f t="shared" ref="B12:G12" si="7">SUM(B3:B5)+SUM(B8:B11)</f>
        <v>1522</v>
      </c>
      <c r="C12" s="19">
        <f t="shared" si="7"/>
        <v>2289</v>
      </c>
      <c r="D12" s="19">
        <f t="shared" si="7"/>
        <v>3811</v>
      </c>
      <c r="E12" s="19">
        <f t="shared" si="7"/>
        <v>648</v>
      </c>
      <c r="F12" s="19">
        <f t="shared" si="3"/>
        <v>760</v>
      </c>
      <c r="G12" s="19">
        <f t="shared" si="7"/>
        <v>1408</v>
      </c>
      <c r="H12" s="19">
        <f>SUM(H3:H5)+SUM(H8:H11)</f>
        <v>842</v>
      </c>
      <c r="J12" s="27" t="s">
        <v>66</v>
      </c>
      <c r="K12" s="28">
        <v>207</v>
      </c>
      <c r="L12" s="3">
        <f t="shared" si="0"/>
        <v>808</v>
      </c>
      <c r="M12" s="28">
        <v>1015</v>
      </c>
      <c r="N12" s="28">
        <v>1602</v>
      </c>
      <c r="O12" s="28">
        <f t="shared" si="1"/>
        <v>241</v>
      </c>
      <c r="P12" s="28">
        <v>1843</v>
      </c>
      <c r="Q12" s="28">
        <v>212</v>
      </c>
      <c r="S12" s="2" t="s">
        <v>66</v>
      </c>
      <c r="T12" s="3">
        <v>-20</v>
      </c>
      <c r="U12" s="3">
        <f>V12-T12</f>
        <v>62</v>
      </c>
      <c r="V12" s="3">
        <v>42</v>
      </c>
      <c r="W12" s="3">
        <v>20</v>
      </c>
      <c r="X12" s="3">
        <f>Y12-W12</f>
        <v>8</v>
      </c>
      <c r="Y12" s="3">
        <v>28</v>
      </c>
      <c r="Z12" s="3">
        <v>-102</v>
      </c>
    </row>
    <row r="13" spans="1:26" x14ac:dyDescent="0.25">
      <c r="A13" t="s">
        <v>8</v>
      </c>
      <c r="B13" s="1">
        <v>-423</v>
      </c>
      <c r="C13" s="1">
        <f t="shared" si="2"/>
        <v>-518</v>
      </c>
      <c r="D13" s="1">
        <v>-941</v>
      </c>
      <c r="E13" s="1">
        <v>-394</v>
      </c>
      <c r="F13" s="1">
        <f t="shared" si="3"/>
        <v>-365</v>
      </c>
      <c r="G13" s="1">
        <v>-759</v>
      </c>
      <c r="H13" s="1">
        <v>-466</v>
      </c>
      <c r="J13" s="16" t="s">
        <v>35</v>
      </c>
      <c r="K13" s="17">
        <f t="shared" ref="K13:Q13" si="8">K11+K12</f>
        <v>16859</v>
      </c>
      <c r="L13" s="17">
        <f t="shared" si="8"/>
        <v>20662</v>
      </c>
      <c r="M13" s="17">
        <f t="shared" si="8"/>
        <v>37521</v>
      </c>
      <c r="N13" s="17">
        <f t="shared" si="8"/>
        <v>18281</v>
      </c>
      <c r="O13" s="17">
        <f t="shared" si="8"/>
        <v>19765</v>
      </c>
      <c r="P13" s="17">
        <f t="shared" si="8"/>
        <v>38046</v>
      </c>
      <c r="Q13" s="17">
        <f t="shared" si="8"/>
        <v>18355</v>
      </c>
      <c r="S13" s="14" t="s">
        <v>27</v>
      </c>
      <c r="T13" s="15">
        <f t="shared" ref="T13:Z13" si="9">T11+T12</f>
        <v>5287</v>
      </c>
      <c r="U13" s="15">
        <f t="shared" si="9"/>
        <v>7094</v>
      </c>
      <c r="V13" s="15">
        <f t="shared" si="9"/>
        <v>12381</v>
      </c>
      <c r="W13" s="15">
        <f t="shared" si="9"/>
        <v>5416</v>
      </c>
      <c r="X13" s="15">
        <f t="shared" si="9"/>
        <v>6562</v>
      </c>
      <c r="Y13" s="15">
        <f t="shared" si="9"/>
        <v>11978</v>
      </c>
      <c r="Z13" s="15">
        <f t="shared" si="9"/>
        <v>5608</v>
      </c>
    </row>
    <row r="14" spans="1:26" x14ac:dyDescent="0.25">
      <c r="A14" t="s">
        <v>53</v>
      </c>
      <c r="B14" s="1">
        <v>0</v>
      </c>
      <c r="C14" s="1">
        <v>0</v>
      </c>
      <c r="D14" s="1">
        <v>0</v>
      </c>
      <c r="E14" s="1">
        <v>0</v>
      </c>
      <c r="F14" s="1">
        <f t="shared" si="3"/>
        <v>0</v>
      </c>
      <c r="G14" s="1">
        <v>0</v>
      </c>
      <c r="H14" s="1">
        <v>-109</v>
      </c>
      <c r="J14" t="s">
        <v>1</v>
      </c>
      <c r="K14" s="1">
        <v>-8149</v>
      </c>
      <c r="L14" s="1">
        <f>M14-K14</f>
        <v>-10758</v>
      </c>
      <c r="M14" s="1">
        <v>-18907</v>
      </c>
      <c r="N14" s="1">
        <v>-9689</v>
      </c>
      <c r="O14" s="1">
        <f>P14-N14</f>
        <v>-10807</v>
      </c>
      <c r="P14" s="1">
        <v>-20496</v>
      </c>
      <c r="Q14" s="1">
        <v>-9815</v>
      </c>
      <c r="S14" s="46" t="s">
        <v>76</v>
      </c>
      <c r="T14" s="46"/>
      <c r="U14" s="46"/>
      <c r="V14" s="46"/>
      <c r="W14" s="46"/>
      <c r="X14" s="46"/>
      <c r="Y14" s="46"/>
      <c r="Z14" s="46"/>
    </row>
    <row r="15" spans="1:26" x14ac:dyDescent="0.25">
      <c r="A15" s="2" t="s">
        <v>10</v>
      </c>
      <c r="B15" s="3">
        <v>-936</v>
      </c>
      <c r="C15" s="3">
        <f t="shared" si="2"/>
        <v>-1253</v>
      </c>
      <c r="D15" s="3">
        <v>-2189</v>
      </c>
      <c r="E15" s="3">
        <v>-838</v>
      </c>
      <c r="F15" s="3">
        <f t="shared" si="3"/>
        <v>-831</v>
      </c>
      <c r="G15" s="3">
        <v>-1669</v>
      </c>
      <c r="H15" s="3">
        <v>-582</v>
      </c>
      <c r="J15" s="2" t="s">
        <v>50</v>
      </c>
      <c r="K15" s="3">
        <v>-3423</v>
      </c>
      <c r="L15" s="3">
        <f>M15-K15</f>
        <v>-2810</v>
      </c>
      <c r="M15" s="3">
        <v>-6233</v>
      </c>
      <c r="N15" s="3">
        <v>-3176</v>
      </c>
      <c r="O15" s="3">
        <f>P15-N15</f>
        <v>-2396</v>
      </c>
      <c r="P15" s="3">
        <v>-5572</v>
      </c>
      <c r="Q15" s="3">
        <v>-2932</v>
      </c>
      <c r="S15" s="7" t="s">
        <v>43</v>
      </c>
      <c r="T15" t="s">
        <v>46</v>
      </c>
      <c r="U15" t="s">
        <v>47</v>
      </c>
      <c r="V15" t="s">
        <v>48</v>
      </c>
      <c r="W15" t="s">
        <v>24</v>
      </c>
      <c r="X15" t="s">
        <v>45</v>
      </c>
      <c r="Y15" t="s">
        <v>49</v>
      </c>
      <c r="Z15" t="s">
        <v>23</v>
      </c>
    </row>
    <row r="16" spans="1:26" x14ac:dyDescent="0.25">
      <c r="A16" t="s">
        <v>9</v>
      </c>
      <c r="B16" s="1">
        <f>SUM(B12:B15)</f>
        <v>163</v>
      </c>
      <c r="C16" s="1">
        <f t="shared" si="2"/>
        <v>518</v>
      </c>
      <c r="D16" s="1">
        <f>SUM(D12:D15)</f>
        <v>681</v>
      </c>
      <c r="E16" s="1">
        <f>SUM(E12:E15)</f>
        <v>-584</v>
      </c>
      <c r="F16" s="1">
        <f t="shared" si="3"/>
        <v>-436</v>
      </c>
      <c r="G16" s="1">
        <f>SUM(G12:G15)</f>
        <v>-1020</v>
      </c>
      <c r="H16" s="1">
        <f>SUM(H12:H15)</f>
        <v>-315</v>
      </c>
      <c r="J16" s="14" t="s">
        <v>27</v>
      </c>
      <c r="K16" s="15">
        <f t="shared" ref="K16:Q16" si="10">K13+K14+K15</f>
        <v>5287</v>
      </c>
      <c r="L16" s="15">
        <f t="shared" si="10"/>
        <v>7094</v>
      </c>
      <c r="M16" s="15">
        <f t="shared" si="10"/>
        <v>12381</v>
      </c>
      <c r="N16" s="15">
        <f t="shared" si="10"/>
        <v>5416</v>
      </c>
      <c r="O16" s="15">
        <f t="shared" si="10"/>
        <v>6562</v>
      </c>
      <c r="P16" s="15">
        <f t="shared" si="10"/>
        <v>11978</v>
      </c>
      <c r="Q16" s="15">
        <f t="shared" si="10"/>
        <v>5608</v>
      </c>
      <c r="S16" s="25" t="s">
        <v>59</v>
      </c>
      <c r="T16" s="30">
        <f t="shared" ref="T16:Y16" si="11">T4/K5</f>
        <v>0.37944271626183068</v>
      </c>
      <c r="U16" s="30">
        <f t="shared" si="11"/>
        <v>0.3936867844837168</v>
      </c>
      <c r="V16" s="30">
        <f t="shared" si="11"/>
        <v>0.38718545146965533</v>
      </c>
      <c r="W16" s="30">
        <f t="shared" si="11"/>
        <v>0.37970696973846363</v>
      </c>
      <c r="X16" s="30">
        <f t="shared" si="11"/>
        <v>0.39256593375695892</v>
      </c>
      <c r="Y16" s="30">
        <f t="shared" si="11"/>
        <v>0.38676711229120997</v>
      </c>
      <c r="Z16" s="30">
        <f>Z4/Q5</f>
        <v>0.36533912932301987</v>
      </c>
    </row>
    <row r="17" spans="1:26" x14ac:dyDescent="0.25">
      <c r="B17" s="1"/>
      <c r="C17" s="1"/>
      <c r="D17" s="1"/>
      <c r="E17" s="1"/>
      <c r="F17" s="1"/>
      <c r="G17" s="1"/>
      <c r="H17" s="1"/>
      <c r="J17" s="32" t="s">
        <v>69</v>
      </c>
      <c r="K17" s="33">
        <v>-1604</v>
      </c>
      <c r="L17" s="33">
        <f t="shared" ref="L17:L22" si="12">M17-K17</f>
        <v>-1761</v>
      </c>
      <c r="M17" s="33">
        <v>-3365</v>
      </c>
      <c r="N17" s="33">
        <v>-1772</v>
      </c>
      <c r="O17" s="33">
        <f t="shared" ref="O17:O22" si="13">P17-N17</f>
        <v>-1757</v>
      </c>
      <c r="P17" s="33">
        <v>-3529</v>
      </c>
      <c r="Q17" s="33">
        <v>-1713</v>
      </c>
      <c r="S17" s="25" t="s">
        <v>67</v>
      </c>
      <c r="T17" s="30">
        <f t="shared" ref="T17:Y17" si="14">T5/K6</f>
        <v>0.15022091310751104</v>
      </c>
      <c r="U17" s="30">
        <f t="shared" si="14"/>
        <v>0.18839487565938207</v>
      </c>
      <c r="V17" s="30">
        <f t="shared" si="14"/>
        <v>0.1690875232774674</v>
      </c>
      <c r="W17" s="30">
        <f t="shared" si="14"/>
        <v>0.15590551181102363</v>
      </c>
      <c r="X17" s="30">
        <f t="shared" si="14"/>
        <v>0.13781512605042018</v>
      </c>
      <c r="Y17" s="30">
        <f t="shared" si="14"/>
        <v>0.15013404825737264</v>
      </c>
      <c r="Z17" s="36" t="s">
        <v>40</v>
      </c>
    </row>
    <row r="18" spans="1:26" x14ac:dyDescent="0.25">
      <c r="A18" s="14" t="s">
        <v>27</v>
      </c>
      <c r="B18" s="15">
        <v>5287</v>
      </c>
      <c r="C18" s="15">
        <f>D18-B18</f>
        <v>7094</v>
      </c>
      <c r="D18" s="15">
        <v>12381</v>
      </c>
      <c r="E18" s="15">
        <v>5416</v>
      </c>
      <c r="F18" s="15">
        <f>G18-E18</f>
        <v>6562</v>
      </c>
      <c r="G18" s="15">
        <v>11978</v>
      </c>
      <c r="H18" s="15">
        <v>5608</v>
      </c>
      <c r="J18" s="34" t="s">
        <v>70</v>
      </c>
      <c r="K18" s="35">
        <v>-1710</v>
      </c>
      <c r="L18" s="35">
        <f t="shared" si="12"/>
        <v>-2147</v>
      </c>
      <c r="M18" s="35">
        <v>-3857</v>
      </c>
      <c r="N18" s="35">
        <v>-1953</v>
      </c>
      <c r="O18" s="35">
        <f t="shared" si="13"/>
        <v>-2401</v>
      </c>
      <c r="P18" s="35">
        <v>-4354</v>
      </c>
      <c r="Q18" s="35">
        <v>-2174</v>
      </c>
      <c r="S18" s="25" t="s">
        <v>62</v>
      </c>
      <c r="T18" s="30">
        <f t="shared" ref="T18:Y18" si="15">T6/K7</f>
        <v>-0.53287981859410427</v>
      </c>
      <c r="U18" s="30">
        <f t="shared" si="15"/>
        <v>-0.1253968253968254</v>
      </c>
      <c r="V18" s="30">
        <f t="shared" si="15"/>
        <v>-0.29318394024276379</v>
      </c>
      <c r="W18" s="30">
        <f t="shared" si="15"/>
        <v>-0.16135458167330677</v>
      </c>
      <c r="X18" s="30">
        <f t="shared" si="15"/>
        <v>-0.10510948905109489</v>
      </c>
      <c r="Y18" s="30">
        <f t="shared" si="15"/>
        <v>-0.12889637742207244</v>
      </c>
      <c r="Z18" s="30">
        <f>Z6/Q7</f>
        <v>-3.0959752321981424E-2</v>
      </c>
    </row>
    <row r="19" spans="1:26" x14ac:dyDescent="0.25">
      <c r="A19" t="s">
        <v>28</v>
      </c>
      <c r="B19" s="1">
        <v>7721.03</v>
      </c>
      <c r="C19" s="1">
        <f>D19*2-B19</f>
        <v>7721.6480000000001</v>
      </c>
      <c r="D19" s="1">
        <v>7721.3389999999999</v>
      </c>
      <c r="E19" s="1">
        <v>7714.8370000000004</v>
      </c>
      <c r="F19" s="1">
        <f>G19*2-E19</f>
        <v>7719.0429999999988</v>
      </c>
      <c r="G19" s="1">
        <v>7716.94</v>
      </c>
      <c r="H19" s="1">
        <v>7720.2030000000004</v>
      </c>
      <c r="J19" t="s">
        <v>41</v>
      </c>
      <c r="K19" s="1">
        <v>-2</v>
      </c>
      <c r="L19" s="1">
        <f t="shared" si="12"/>
        <v>-5</v>
      </c>
      <c r="M19" s="1">
        <v>-7</v>
      </c>
      <c r="N19" s="1">
        <v>0</v>
      </c>
      <c r="O19" s="1">
        <f t="shared" si="13"/>
        <v>-1</v>
      </c>
      <c r="P19" s="1">
        <v>-1</v>
      </c>
      <c r="Q19" s="1">
        <v>-3</v>
      </c>
      <c r="S19" s="25" t="s">
        <v>63</v>
      </c>
      <c r="T19" s="30">
        <f t="shared" ref="T19:Y19" si="16">T7/K8</f>
        <v>-1.1259842519685039</v>
      </c>
      <c r="U19" s="30">
        <f t="shared" si="16"/>
        <v>-0.98484848484848486</v>
      </c>
      <c r="V19" s="30">
        <f t="shared" si="16"/>
        <v>-1.0540540540540539</v>
      </c>
      <c r="W19" s="30">
        <f t="shared" si="16"/>
        <v>-0.73076923076923073</v>
      </c>
      <c r="X19" s="30">
        <f t="shared" si="16"/>
        <v>-0.37433155080213903</v>
      </c>
      <c r="Y19" s="30">
        <f t="shared" si="16"/>
        <v>-0.52050473186119872</v>
      </c>
      <c r="Z19" s="30">
        <f>Z7/Q8</f>
        <v>-0.171875</v>
      </c>
    </row>
    <row r="20" spans="1:26" x14ac:dyDescent="0.25">
      <c r="A20" t="s">
        <v>11</v>
      </c>
      <c r="B20" s="4">
        <f t="shared" ref="B20:H20" si="17">B16/B19</f>
        <v>2.1111172991168277E-2</v>
      </c>
      <c r="C20" s="4">
        <f t="shared" si="17"/>
        <v>6.7084125046881188E-2</v>
      </c>
      <c r="D20" s="4">
        <f t="shared" si="17"/>
        <v>8.8197137828037342E-2</v>
      </c>
      <c r="E20" s="4">
        <f t="shared" si="17"/>
        <v>-7.5698294079317552E-2</v>
      </c>
      <c r="F20" s="4">
        <f t="shared" si="17"/>
        <v>-5.6483685866240162E-2</v>
      </c>
      <c r="G20" s="4">
        <f t="shared" si="17"/>
        <v>-0.13217674363154308</v>
      </c>
      <c r="H20" s="4">
        <f t="shared" si="17"/>
        <v>-4.0802035905014411E-2</v>
      </c>
      <c r="J20" t="s">
        <v>3</v>
      </c>
      <c r="K20" s="1">
        <v>426</v>
      </c>
      <c r="L20" s="1">
        <f t="shared" si="12"/>
        <v>72</v>
      </c>
      <c r="M20" s="1">
        <v>498</v>
      </c>
      <c r="N20" s="1">
        <v>-61</v>
      </c>
      <c r="O20" s="1">
        <f t="shared" si="13"/>
        <v>-731</v>
      </c>
      <c r="P20" s="1">
        <v>-792</v>
      </c>
      <c r="Q20" s="1">
        <v>4</v>
      </c>
      <c r="S20" s="25" t="s">
        <v>64</v>
      </c>
      <c r="T20" s="30">
        <f t="shared" ref="T20:Y20" si="18">T8/K9</f>
        <v>0.17064647641234712</v>
      </c>
      <c r="U20" s="30">
        <f t="shared" si="18"/>
        <v>0.2882846861255498</v>
      </c>
      <c r="V20" s="30">
        <f t="shared" si="18"/>
        <v>0.24039829302987198</v>
      </c>
      <c r="W20" s="30">
        <f t="shared" si="18"/>
        <v>0.11798636601992658</v>
      </c>
      <c r="X20" s="30">
        <f t="shared" si="18"/>
        <v>0.20113114174620006</v>
      </c>
      <c r="Y20" s="30">
        <f t="shared" si="18"/>
        <v>0.16765202702702703</v>
      </c>
      <c r="Z20" s="30">
        <f>Z8/Q9</f>
        <v>0.17013167013167013</v>
      </c>
    </row>
    <row r="21" spans="1:26" x14ac:dyDescent="0.25">
      <c r="A21" t="s">
        <v>12</v>
      </c>
      <c r="B21">
        <v>9.1800000000000007E-2</v>
      </c>
      <c r="C21">
        <v>0.23</v>
      </c>
      <c r="D21">
        <f>B21+C21</f>
        <v>0.32180000000000003</v>
      </c>
      <c r="E21">
        <v>9.1800000000000007E-2</v>
      </c>
      <c r="F21">
        <v>0.23</v>
      </c>
      <c r="G21">
        <f>E21+F21</f>
        <v>0.32180000000000003</v>
      </c>
      <c r="H21">
        <v>9.3600000000000003E-2</v>
      </c>
      <c r="J21" s="20" t="s">
        <v>52</v>
      </c>
      <c r="K21" s="21">
        <f>40-925</f>
        <v>-885</v>
      </c>
      <c r="L21" s="21">
        <f t="shared" si="12"/>
        <v>-987</v>
      </c>
      <c r="M21" s="21">
        <f>86-1958</f>
        <v>-1872</v>
      </c>
      <c r="N21" s="21">
        <f>-998+35</f>
        <v>-963</v>
      </c>
      <c r="O21" s="21">
        <f t="shared" si="13"/>
        <v>-906</v>
      </c>
      <c r="P21" s="21">
        <f>50-1919</f>
        <v>-1869</v>
      </c>
      <c r="Q21" s="21">
        <f>15-865</f>
        <v>-850</v>
      </c>
      <c r="S21" s="25" t="s">
        <v>3</v>
      </c>
      <c r="T21" s="30">
        <f t="shared" ref="T21:Y21" si="19">T13/K11</f>
        <v>0.31749939947153494</v>
      </c>
      <c r="U21" s="30">
        <f t="shared" si="19"/>
        <v>0.35730835096202279</v>
      </c>
      <c r="V21" s="30">
        <f t="shared" si="19"/>
        <v>0.33914972881170219</v>
      </c>
      <c r="W21" s="30">
        <f t="shared" si="19"/>
        <v>0.32471970741651179</v>
      </c>
      <c r="X21" s="30">
        <f t="shared" si="19"/>
        <v>0.33609916000819506</v>
      </c>
      <c r="Y21" s="30">
        <f t="shared" si="19"/>
        <v>0.33085655884871418</v>
      </c>
      <c r="Z21" s="30">
        <f>Z13/Q11</f>
        <v>0.30909992834702088</v>
      </c>
    </row>
    <row r="22" spans="1:26" x14ac:dyDescent="0.25">
      <c r="J22" s="2" t="s">
        <v>42</v>
      </c>
      <c r="K22" s="3">
        <v>10</v>
      </c>
      <c r="L22" s="3">
        <f t="shared" si="12"/>
        <v>23</v>
      </c>
      <c r="M22" s="3">
        <v>33</v>
      </c>
      <c r="N22" s="3">
        <v>-19</v>
      </c>
      <c r="O22" s="3">
        <f t="shared" si="13"/>
        <v>-6</v>
      </c>
      <c r="P22" s="3">
        <v>-25</v>
      </c>
      <c r="Q22" s="3">
        <v>-30</v>
      </c>
      <c r="S22" s="31" t="s">
        <v>34</v>
      </c>
      <c r="T22" s="30"/>
      <c r="U22" s="30"/>
      <c r="V22" s="30"/>
      <c r="W22" s="30"/>
      <c r="X22" s="30"/>
      <c r="Y22" s="30"/>
      <c r="Z22" s="30"/>
    </row>
    <row r="23" spans="1:26" x14ac:dyDescent="0.25">
      <c r="A23" s="46" t="s">
        <v>76</v>
      </c>
      <c r="B23" s="46"/>
      <c r="C23" s="46"/>
      <c r="D23" s="46"/>
      <c r="E23" s="46"/>
      <c r="F23" s="46"/>
      <c r="G23" s="46"/>
      <c r="H23" s="46"/>
      <c r="J23" s="18" t="s">
        <v>44</v>
      </c>
      <c r="K23" s="19">
        <f t="shared" ref="K23:Q23" si="20">SUM(K16:K22)</f>
        <v>1522</v>
      </c>
      <c r="L23" s="19">
        <f t="shared" si="20"/>
        <v>2289</v>
      </c>
      <c r="M23" s="19">
        <f t="shared" si="20"/>
        <v>3811</v>
      </c>
      <c r="N23" s="19">
        <f t="shared" si="20"/>
        <v>648</v>
      </c>
      <c r="O23" s="19">
        <f t="shared" si="20"/>
        <v>760</v>
      </c>
      <c r="P23" s="19">
        <f t="shared" si="20"/>
        <v>1408</v>
      </c>
      <c r="Q23" s="19">
        <f t="shared" si="20"/>
        <v>842</v>
      </c>
      <c r="S23" s="31" t="s">
        <v>73</v>
      </c>
      <c r="T23" s="30">
        <f t="shared" ref="T23:Y23" si="21">T11/K11</f>
        <v>0.31870045640163341</v>
      </c>
      <c r="U23" s="30">
        <f t="shared" si="21"/>
        <v>0.35418555454820189</v>
      </c>
      <c r="V23" s="30">
        <f t="shared" si="21"/>
        <v>0.33799923300279405</v>
      </c>
      <c r="W23" s="30">
        <f t="shared" si="21"/>
        <v>0.32352059475987771</v>
      </c>
      <c r="X23" s="30">
        <f t="shared" si="21"/>
        <v>0.33568940790821555</v>
      </c>
      <c r="Y23" s="30">
        <f t="shared" si="21"/>
        <v>0.33008314228102642</v>
      </c>
      <c r="Z23" s="30">
        <f>Z11/Q11</f>
        <v>0.31472193132337539</v>
      </c>
    </row>
    <row r="24" spans="1:26" x14ac:dyDescent="0.25">
      <c r="A24" t="s">
        <v>19</v>
      </c>
      <c r="B24" s="1">
        <v>74655</v>
      </c>
      <c r="C24" s="1">
        <f>D24</f>
        <v>78027</v>
      </c>
      <c r="D24" s="1">
        <v>78027</v>
      </c>
      <c r="E24" s="1">
        <v>79193</v>
      </c>
      <c r="F24" s="1">
        <f>G24</f>
        <v>80528</v>
      </c>
      <c r="G24" s="1">
        <v>80528</v>
      </c>
      <c r="H24" s="1">
        <v>82085</v>
      </c>
      <c r="S24" s="31" t="s">
        <v>66</v>
      </c>
      <c r="T24" s="30">
        <f t="shared" ref="T24:Y24" si="22">T12/K12</f>
        <v>-9.6618357487922704E-2</v>
      </c>
      <c r="U24" s="30">
        <f t="shared" si="22"/>
        <v>7.6732673267326731E-2</v>
      </c>
      <c r="V24" s="30">
        <f t="shared" si="22"/>
        <v>4.1379310344827586E-2</v>
      </c>
      <c r="W24" s="30">
        <f t="shared" si="22"/>
        <v>1.2484394506866416E-2</v>
      </c>
      <c r="X24" s="30">
        <f t="shared" si="22"/>
        <v>3.3195020746887967E-2</v>
      </c>
      <c r="Y24" s="30">
        <f t="shared" si="22"/>
        <v>1.5192620727075421E-2</v>
      </c>
      <c r="Z24" s="30">
        <f>Z12/Q12</f>
        <v>-0.48113207547169812</v>
      </c>
    </row>
    <row r="25" spans="1:26" x14ac:dyDescent="0.25">
      <c r="A25" s="2" t="s">
        <v>20</v>
      </c>
      <c r="B25" s="3">
        <v>18231</v>
      </c>
      <c r="C25" s="3">
        <f>D25</f>
        <v>20868</v>
      </c>
      <c r="D25" s="3">
        <v>20868</v>
      </c>
      <c r="E25" s="3">
        <v>18360</v>
      </c>
      <c r="F25" s="3">
        <f>G25</f>
        <v>17311</v>
      </c>
      <c r="G25" s="3">
        <v>17311</v>
      </c>
      <c r="H25" s="3">
        <v>20248</v>
      </c>
      <c r="S25" s="31" t="s">
        <v>27</v>
      </c>
      <c r="T25" s="30">
        <f t="shared" ref="T25:Y25" si="23">T13/K13</f>
        <v>0.31360104395278487</v>
      </c>
      <c r="U25" s="30">
        <f t="shared" si="23"/>
        <v>0.34333559190785018</v>
      </c>
      <c r="V25" s="30">
        <f t="shared" si="23"/>
        <v>0.32997521388022705</v>
      </c>
      <c r="W25" s="30">
        <f t="shared" si="23"/>
        <v>0.29626388053169955</v>
      </c>
      <c r="X25" s="30">
        <f t="shared" si="23"/>
        <v>0.33200101188970405</v>
      </c>
      <c r="Y25" s="30">
        <f t="shared" si="23"/>
        <v>0.3148294170215003</v>
      </c>
      <c r="Z25" s="30">
        <f>Z13/Q13</f>
        <v>0.30552982838463633</v>
      </c>
    </row>
    <row r="26" spans="1:26" x14ac:dyDescent="0.25">
      <c r="A26" t="s">
        <v>13</v>
      </c>
      <c r="B26" s="1">
        <f t="shared" ref="B26:H26" si="24">B24+B25</f>
        <v>92886</v>
      </c>
      <c r="C26" s="1">
        <f t="shared" si="24"/>
        <v>98895</v>
      </c>
      <c r="D26" s="1">
        <f t="shared" si="24"/>
        <v>98895</v>
      </c>
      <c r="E26" s="1">
        <f t="shared" si="24"/>
        <v>97553</v>
      </c>
      <c r="F26" s="1">
        <f t="shared" si="24"/>
        <v>97839</v>
      </c>
      <c r="G26" s="1">
        <f t="shared" si="24"/>
        <v>97839</v>
      </c>
      <c r="H26" s="1">
        <f t="shared" si="24"/>
        <v>102333</v>
      </c>
    </row>
    <row r="27" spans="1:26" x14ac:dyDescent="0.25">
      <c r="A27" s="12" t="s">
        <v>54</v>
      </c>
      <c r="B27" s="23">
        <v>18194</v>
      </c>
      <c r="C27" s="23">
        <f>D27</f>
        <v>18344</v>
      </c>
      <c r="D27" s="23">
        <v>18344</v>
      </c>
      <c r="E27" s="23">
        <v>18331</v>
      </c>
      <c r="F27" s="23">
        <f>G27</f>
        <v>18461</v>
      </c>
      <c r="G27" s="23">
        <v>18461</v>
      </c>
      <c r="H27" s="23">
        <v>18460</v>
      </c>
    </row>
    <row r="28" spans="1:26" x14ac:dyDescent="0.25">
      <c r="A28" s="12" t="s">
        <v>55</v>
      </c>
      <c r="B28" s="23">
        <v>11328</v>
      </c>
      <c r="C28" s="23">
        <f>D28</f>
        <v>13331</v>
      </c>
      <c r="D28" s="23">
        <v>13331</v>
      </c>
      <c r="E28" s="23">
        <v>13895</v>
      </c>
      <c r="F28" s="23">
        <f>G28</f>
        <v>14534</v>
      </c>
      <c r="G28" s="23">
        <v>14534</v>
      </c>
      <c r="H28" s="23">
        <v>15871</v>
      </c>
    </row>
    <row r="29" spans="1:26" x14ac:dyDescent="0.25">
      <c r="B29" s="1"/>
      <c r="C29" s="1"/>
      <c r="D29" s="1"/>
      <c r="E29" s="1"/>
      <c r="F29" s="1"/>
      <c r="G29" s="1"/>
      <c r="H29" s="1"/>
    </row>
    <row r="30" spans="1:26" x14ac:dyDescent="0.25">
      <c r="A30" t="s">
        <v>21</v>
      </c>
      <c r="B30" s="1">
        <v>59273</v>
      </c>
      <c r="C30" s="1">
        <f>D30</f>
        <v>64636</v>
      </c>
      <c r="D30" s="1">
        <v>64636</v>
      </c>
      <c r="E30" s="1">
        <v>65112</v>
      </c>
      <c r="F30" s="1">
        <f>G30</f>
        <v>65951</v>
      </c>
      <c r="G30" s="1">
        <v>65951</v>
      </c>
      <c r="H30" s="1">
        <v>65941</v>
      </c>
    </row>
    <row r="31" spans="1:26" x14ac:dyDescent="0.25">
      <c r="A31" s="2" t="s">
        <v>22</v>
      </c>
      <c r="B31" s="3">
        <v>15707</v>
      </c>
      <c r="C31" s="3">
        <f>D31</f>
        <v>16287</v>
      </c>
      <c r="D31" s="3">
        <v>16287</v>
      </c>
      <c r="E31" s="3">
        <v>17603</v>
      </c>
      <c r="F31" s="3">
        <f>G31</f>
        <v>18334</v>
      </c>
      <c r="G31" s="3">
        <v>18334</v>
      </c>
      <c r="H31" s="3">
        <v>19976</v>
      </c>
    </row>
    <row r="32" spans="1:26" x14ac:dyDescent="0.25">
      <c r="A32" t="s">
        <v>14</v>
      </c>
      <c r="B32" s="1">
        <f t="shared" ref="B32:H32" si="25">B30+B31</f>
        <v>74980</v>
      </c>
      <c r="C32" s="1">
        <f t="shared" si="25"/>
        <v>80923</v>
      </c>
      <c r="D32" s="1">
        <f t="shared" si="25"/>
        <v>80923</v>
      </c>
      <c r="E32" s="1">
        <f t="shared" si="25"/>
        <v>82715</v>
      </c>
      <c r="F32" s="1">
        <f t="shared" si="25"/>
        <v>84285</v>
      </c>
      <c r="G32" s="1">
        <f t="shared" si="25"/>
        <v>84285</v>
      </c>
      <c r="H32" s="1">
        <f t="shared" si="25"/>
        <v>85917</v>
      </c>
    </row>
    <row r="33" spans="1:8" x14ac:dyDescent="0.25">
      <c r="B33" s="1"/>
      <c r="C33" s="1"/>
      <c r="D33" s="1"/>
      <c r="E33" s="1"/>
      <c r="F33" s="1"/>
      <c r="G33" s="1"/>
      <c r="H33" s="1"/>
    </row>
    <row r="34" spans="1:8" x14ac:dyDescent="0.25">
      <c r="A34" t="s">
        <v>25</v>
      </c>
      <c r="B34" s="1">
        <f t="shared" ref="B34:H34" si="26">B26-B32</f>
        <v>17906</v>
      </c>
      <c r="C34" s="1">
        <f t="shared" si="26"/>
        <v>17972</v>
      </c>
      <c r="D34" s="1">
        <f t="shared" si="26"/>
        <v>17972</v>
      </c>
      <c r="E34" s="1">
        <f t="shared" si="26"/>
        <v>14838</v>
      </c>
      <c r="F34" s="1">
        <f>G34</f>
        <v>13554</v>
      </c>
      <c r="G34" s="1">
        <f t="shared" si="26"/>
        <v>13554</v>
      </c>
      <c r="H34" s="1">
        <f t="shared" si="26"/>
        <v>16416</v>
      </c>
    </row>
    <row r="35" spans="1:8" x14ac:dyDescent="0.25">
      <c r="A35" t="s">
        <v>53</v>
      </c>
      <c r="B35" s="1">
        <v>0</v>
      </c>
      <c r="C35" s="1">
        <f>D35</f>
        <v>0</v>
      </c>
      <c r="D35" s="1">
        <v>0</v>
      </c>
      <c r="E35" s="1">
        <v>0</v>
      </c>
      <c r="F35" s="1">
        <f>G35</f>
        <v>0</v>
      </c>
      <c r="G35" s="1">
        <v>0</v>
      </c>
      <c r="H35" s="1">
        <v>5885</v>
      </c>
    </row>
    <row r="36" spans="1:8" x14ac:dyDescent="0.25">
      <c r="A36" s="2" t="s">
        <v>26</v>
      </c>
      <c r="B36" s="3">
        <v>2715</v>
      </c>
      <c r="C36" s="3">
        <f>D36</f>
        <v>2434</v>
      </c>
      <c r="D36" s="3">
        <v>2434</v>
      </c>
      <c r="E36" s="3">
        <v>1767</v>
      </c>
      <c r="F36" s="3">
        <f>G36</f>
        <v>3621</v>
      </c>
      <c r="G36" s="3">
        <v>3621</v>
      </c>
      <c r="H36" s="3">
        <v>2977</v>
      </c>
    </row>
    <row r="37" spans="1:8" x14ac:dyDescent="0.25">
      <c r="A37" t="s">
        <v>15</v>
      </c>
      <c r="B37" s="1">
        <f t="shared" ref="B37:H37" si="27">B34-B35-B36</f>
        <v>15191</v>
      </c>
      <c r="C37" s="1">
        <f t="shared" si="27"/>
        <v>15538</v>
      </c>
      <c r="D37" s="1">
        <f t="shared" si="27"/>
        <v>15538</v>
      </c>
      <c r="E37" s="1">
        <f t="shared" si="27"/>
        <v>13071</v>
      </c>
      <c r="F37" s="1">
        <f t="shared" si="27"/>
        <v>9933</v>
      </c>
      <c r="G37" s="1">
        <f t="shared" si="27"/>
        <v>9933</v>
      </c>
      <c r="H37" s="1">
        <f t="shared" si="27"/>
        <v>7554</v>
      </c>
    </row>
    <row r="38" spans="1:8" x14ac:dyDescent="0.25">
      <c r="B38" s="1"/>
      <c r="C38" s="1"/>
      <c r="D38" s="1"/>
      <c r="E38" s="1"/>
      <c r="F38" s="45"/>
      <c r="G38" s="1"/>
      <c r="H38" s="45"/>
    </row>
    <row r="39" spans="1:8" x14ac:dyDescent="0.25">
      <c r="A39" t="s">
        <v>16</v>
      </c>
      <c r="B39" s="1">
        <f>3073+389</f>
        <v>3462</v>
      </c>
      <c r="C39" s="1">
        <f>D39</f>
        <v>5822</v>
      </c>
      <c r="D39" s="1">
        <f>5336+486</f>
        <v>5822</v>
      </c>
      <c r="E39" s="1">
        <f>4889+508</f>
        <v>5397</v>
      </c>
      <c r="F39" s="1">
        <f>G39</f>
        <v>4619</v>
      </c>
      <c r="G39" s="1">
        <f>4081+538</f>
        <v>4619</v>
      </c>
      <c r="H39" s="1">
        <f>7117+468</f>
        <v>7585</v>
      </c>
    </row>
    <row r="40" spans="1:8" x14ac:dyDescent="0.25">
      <c r="A40" s="2" t="s">
        <v>17</v>
      </c>
      <c r="B40" s="3">
        <f>48734+1931</f>
        <v>50665</v>
      </c>
      <c r="C40" s="3">
        <f>D40</f>
        <v>55033</v>
      </c>
      <c r="D40" s="3">
        <f>53505+1528</f>
        <v>55033</v>
      </c>
      <c r="E40" s="3">
        <f>53448+3071</f>
        <v>56519</v>
      </c>
      <c r="F40" s="3">
        <f>G40</f>
        <v>56689</v>
      </c>
      <c r="G40" s="3">
        <f>54319+2370</f>
        <v>56689</v>
      </c>
      <c r="H40" s="3">
        <f>53193+5135</f>
        <v>58328</v>
      </c>
    </row>
    <row r="41" spans="1:8" x14ac:dyDescent="0.25">
      <c r="A41" t="s">
        <v>18</v>
      </c>
      <c r="B41" s="1">
        <f t="shared" ref="B41:H41" si="28">B40-B39</f>
        <v>47203</v>
      </c>
      <c r="C41" s="1">
        <f t="shared" si="28"/>
        <v>49211</v>
      </c>
      <c r="D41" s="1">
        <f t="shared" si="28"/>
        <v>49211</v>
      </c>
      <c r="E41" s="1">
        <f t="shared" si="28"/>
        <v>51122</v>
      </c>
      <c r="F41" s="1">
        <f t="shared" si="28"/>
        <v>52070</v>
      </c>
      <c r="G41" s="1">
        <f t="shared" si="28"/>
        <v>52070</v>
      </c>
      <c r="H41" s="1">
        <f t="shared" si="28"/>
        <v>50743</v>
      </c>
    </row>
    <row r="43" spans="1:8" x14ac:dyDescent="0.25">
      <c r="A43" t="s">
        <v>58</v>
      </c>
      <c r="B43" s="5">
        <f t="shared" ref="B43:G43" si="29">B41/B34</f>
        <v>2.6361554786105215</v>
      </c>
      <c r="C43" s="5">
        <f t="shared" si="29"/>
        <v>2.7382038726908524</v>
      </c>
      <c r="D43" s="5">
        <f t="shared" si="29"/>
        <v>2.7382038726908524</v>
      </c>
      <c r="E43" s="5">
        <f t="shared" si="29"/>
        <v>3.4453430381453027</v>
      </c>
      <c r="F43" s="5">
        <f t="shared" si="29"/>
        <v>3.8416703556145788</v>
      </c>
      <c r="G43" s="5">
        <f t="shared" si="29"/>
        <v>3.8416703556145788</v>
      </c>
      <c r="H43" s="5">
        <f>H41/H34</f>
        <v>3.0910696881091617</v>
      </c>
    </row>
    <row r="44" spans="1:8" x14ac:dyDescent="0.25">
      <c r="A44" t="s">
        <v>57</v>
      </c>
      <c r="B44" s="24">
        <f t="shared" ref="B44:H44" si="30">B41/B26</f>
        <v>0.50818207264819237</v>
      </c>
      <c r="C44" s="24">
        <f t="shared" si="30"/>
        <v>0.49760857475099851</v>
      </c>
      <c r="D44" s="24">
        <f t="shared" si="30"/>
        <v>0.49760857475099851</v>
      </c>
      <c r="E44" s="24">
        <f t="shared" si="30"/>
        <v>0.52404334054308943</v>
      </c>
      <c r="F44" s="24">
        <f t="shared" si="30"/>
        <v>0.53220086059751226</v>
      </c>
      <c r="G44" s="24">
        <f t="shared" si="30"/>
        <v>0.53220086059751226</v>
      </c>
      <c r="H44" s="24">
        <f t="shared" si="30"/>
        <v>0.49586155003762228</v>
      </c>
    </row>
  </sheetData>
  <mergeCells count="5">
    <mergeCell ref="A1:H1"/>
    <mergeCell ref="J1:Q1"/>
    <mergeCell ref="S1:Z1"/>
    <mergeCell ref="S14:Z14"/>
    <mergeCell ref="A23:H23"/>
  </mergeCells>
  <phoneticPr fontId="2" type="noConversion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D6F44B3-C6CB-415E-B83F-A7E05665F3AF}">
  <dimension ref="A1:Z41"/>
  <sheetViews>
    <sheetView zoomScaleNormal="100" workbookViewId="0">
      <pane ySplit="2" topLeftCell="A3" activePane="bottomLeft" state="frozen"/>
      <selection pane="bottomLeft" activeCell="F8" sqref="F8"/>
    </sheetView>
  </sheetViews>
  <sheetFormatPr defaultRowHeight="16.5" x14ac:dyDescent="0.25"/>
  <cols>
    <col min="1" max="1" width="16.125" bestFit="1" customWidth="1"/>
    <col min="2" max="8" width="10" customWidth="1"/>
    <col min="9" max="9" width="4.125" customWidth="1"/>
    <col min="10" max="10" width="34" bestFit="1" customWidth="1"/>
    <col min="13" max="13" width="0" hidden="1" customWidth="1"/>
    <col min="16" max="16" width="0" hidden="1" customWidth="1"/>
    <col min="18" max="18" width="4" customWidth="1"/>
    <col min="19" max="19" width="23.25" bestFit="1" customWidth="1"/>
  </cols>
  <sheetData>
    <row r="1" spans="1:26" x14ac:dyDescent="0.25">
      <c r="A1" s="47" t="s">
        <v>74</v>
      </c>
      <c r="B1" s="47"/>
      <c r="C1" s="47"/>
      <c r="D1" s="47"/>
      <c r="E1" s="47"/>
      <c r="F1" s="47"/>
      <c r="G1" s="47"/>
      <c r="H1" s="47"/>
      <c r="J1" s="48" t="s">
        <v>74</v>
      </c>
      <c r="K1" s="48"/>
      <c r="L1" s="48"/>
      <c r="M1" s="48"/>
      <c r="N1" s="48"/>
      <c r="O1" s="48"/>
      <c r="P1" s="48"/>
      <c r="Q1" s="48"/>
      <c r="S1" s="48" t="s">
        <v>75</v>
      </c>
      <c r="T1" s="48"/>
      <c r="U1" s="48"/>
      <c r="V1" s="48"/>
      <c r="W1" s="48"/>
      <c r="X1" s="48"/>
      <c r="Y1" s="48"/>
      <c r="Z1" s="48"/>
    </row>
    <row r="2" spans="1:26" x14ac:dyDescent="0.25">
      <c r="B2" t="s">
        <v>46</v>
      </c>
      <c r="C2" t="s">
        <v>47</v>
      </c>
      <c r="D2" t="s">
        <v>48</v>
      </c>
      <c r="E2" t="s">
        <v>24</v>
      </c>
      <c r="F2" t="s">
        <v>45</v>
      </c>
      <c r="G2" t="s">
        <v>49</v>
      </c>
      <c r="H2" t="s">
        <v>23</v>
      </c>
      <c r="J2" s="7" t="s">
        <v>0</v>
      </c>
      <c r="K2" t="s">
        <v>46</v>
      </c>
      <c r="L2" t="s">
        <v>47</v>
      </c>
      <c r="M2" t="s">
        <v>48</v>
      </c>
      <c r="N2" t="s">
        <v>24</v>
      </c>
      <c r="O2" t="s">
        <v>45</v>
      </c>
      <c r="P2" t="s">
        <v>49</v>
      </c>
      <c r="Q2" t="s">
        <v>23</v>
      </c>
      <c r="T2" t="s">
        <v>46</v>
      </c>
      <c r="U2" t="s">
        <v>47</v>
      </c>
      <c r="V2" t="s">
        <v>48</v>
      </c>
      <c r="W2" t="s">
        <v>24</v>
      </c>
      <c r="X2" t="s">
        <v>45</v>
      </c>
      <c r="Y2" t="s">
        <v>49</v>
      </c>
      <c r="Z2" t="s">
        <v>23</v>
      </c>
    </row>
    <row r="3" spans="1:26" x14ac:dyDescent="0.25">
      <c r="A3" s="16" t="s">
        <v>0</v>
      </c>
      <c r="B3" s="17">
        <v>15109</v>
      </c>
      <c r="C3" s="17">
        <f>D3-B3</f>
        <v>17994</v>
      </c>
      <c r="D3" s="17">
        <v>33103</v>
      </c>
      <c r="E3" s="17">
        <v>14606</v>
      </c>
      <c r="F3" s="17">
        <f>G3-E3</f>
        <v>17783</v>
      </c>
      <c r="G3" s="17">
        <v>32389</v>
      </c>
      <c r="H3" s="17">
        <v>15643</v>
      </c>
      <c r="J3" s="41" t="s">
        <v>29</v>
      </c>
      <c r="K3" s="22">
        <f t="shared" ref="K3:Q3" si="0">SUM(K4:K6)</f>
        <v>6769</v>
      </c>
      <c r="L3" s="22">
        <f t="shared" si="0"/>
        <v>7838</v>
      </c>
      <c r="M3" s="22">
        <f t="shared" si="0"/>
        <v>14607</v>
      </c>
      <c r="N3" s="22">
        <f t="shared" si="0"/>
        <v>6622</v>
      </c>
      <c r="O3" s="22">
        <f t="shared" si="0"/>
        <v>8091</v>
      </c>
      <c r="P3" s="22">
        <f t="shared" si="0"/>
        <v>14713</v>
      </c>
      <c r="Q3" s="22">
        <f t="shared" si="0"/>
        <v>6926</v>
      </c>
      <c r="S3" s="7" t="s">
        <v>27</v>
      </c>
      <c r="T3" t="s">
        <v>46</v>
      </c>
      <c r="U3" t="s">
        <v>47</v>
      </c>
      <c r="V3" t="s">
        <v>48</v>
      </c>
      <c r="W3" t="s">
        <v>24</v>
      </c>
      <c r="X3" t="s">
        <v>45</v>
      </c>
      <c r="Y3" t="s">
        <v>49</v>
      </c>
      <c r="Z3" t="s">
        <v>23</v>
      </c>
    </row>
    <row r="4" spans="1:26" x14ac:dyDescent="0.25">
      <c r="A4" t="s">
        <v>1</v>
      </c>
      <c r="B4" s="1">
        <v>-6950</v>
      </c>
      <c r="C4" s="1">
        <f t="shared" ref="C4:C13" si="1">D4-B4</f>
        <v>-8837</v>
      </c>
      <c r="D4" s="1">
        <v>-15787</v>
      </c>
      <c r="E4" s="1">
        <v>-6941</v>
      </c>
      <c r="F4" s="1">
        <f t="shared" ref="F4:F13" si="2">G4-E4</f>
        <v>-8762</v>
      </c>
      <c r="G4" s="1">
        <v>-15703</v>
      </c>
      <c r="H4" s="1">
        <v>-7550</v>
      </c>
      <c r="J4" s="29" t="s">
        <v>77</v>
      </c>
      <c r="K4" s="9">
        <v>3619</v>
      </c>
      <c r="L4" s="9">
        <f>M4-K4</f>
        <v>4168</v>
      </c>
      <c r="M4" s="9">
        <v>7787</v>
      </c>
      <c r="N4" s="9">
        <v>3696</v>
      </c>
      <c r="O4" s="9">
        <f>P4-N4</f>
        <v>4521</v>
      </c>
      <c r="P4" s="9">
        <v>8217</v>
      </c>
      <c r="Q4" s="9">
        <v>3877</v>
      </c>
      <c r="S4" t="s">
        <v>31</v>
      </c>
      <c r="T4" s="1">
        <v>3828</v>
      </c>
      <c r="U4" s="1">
        <f>V4-T4</f>
        <v>4532</v>
      </c>
      <c r="V4" s="1">
        <v>8360</v>
      </c>
      <c r="W4" s="1">
        <v>3801</v>
      </c>
      <c r="X4" s="1">
        <f t="shared" ref="X4:X9" si="3">Y4-W4</f>
        <v>4611</v>
      </c>
      <c r="Y4" s="1">
        <v>8412</v>
      </c>
      <c r="Z4" s="1">
        <v>3824</v>
      </c>
    </row>
    <row r="5" spans="1:26" x14ac:dyDescent="0.25">
      <c r="A5" t="s">
        <v>2</v>
      </c>
      <c r="B5" s="1">
        <v>-4796</v>
      </c>
      <c r="C5" s="1">
        <f t="shared" si="1"/>
        <v>-4826</v>
      </c>
      <c r="D5" s="1">
        <v>-9622</v>
      </c>
      <c r="E5" s="1">
        <v>-4608</v>
      </c>
      <c r="F5" s="1">
        <f t="shared" si="2"/>
        <v>-4890</v>
      </c>
      <c r="G5" s="1">
        <v>-9498</v>
      </c>
      <c r="H5" s="1">
        <v>-5127</v>
      </c>
      <c r="J5" s="29" t="s">
        <v>78</v>
      </c>
      <c r="K5" s="9">
        <v>1612</v>
      </c>
      <c r="L5" s="9">
        <f>M5-K5</f>
        <v>1648</v>
      </c>
      <c r="M5" s="9">
        <v>3260</v>
      </c>
      <c r="N5" s="9">
        <v>1532</v>
      </c>
      <c r="O5" s="9">
        <f>P5-N5</f>
        <v>1552</v>
      </c>
      <c r="P5" s="9">
        <v>3084</v>
      </c>
      <c r="Q5" s="9">
        <v>1449</v>
      </c>
      <c r="S5" s="41" t="s">
        <v>37</v>
      </c>
      <c r="T5" s="22">
        <v>2222</v>
      </c>
      <c r="U5" s="22">
        <f>V5-T5</f>
        <v>2879</v>
      </c>
      <c r="V5" s="22">
        <v>5101</v>
      </c>
      <c r="W5" s="22">
        <v>2057</v>
      </c>
      <c r="X5" s="22">
        <f t="shared" si="3"/>
        <v>2639</v>
      </c>
      <c r="Y5" s="22">
        <v>4696</v>
      </c>
      <c r="Z5" s="22">
        <v>2058</v>
      </c>
    </row>
    <row r="6" spans="1:26" x14ac:dyDescent="0.25">
      <c r="A6" s="37" t="s">
        <v>68</v>
      </c>
      <c r="B6" s="38">
        <v>-2371</v>
      </c>
      <c r="C6" s="38">
        <f>D6-B6</f>
        <v>-2750</v>
      </c>
      <c r="D6" s="38">
        <v>-5121</v>
      </c>
      <c r="E6" s="38">
        <v>-2491</v>
      </c>
      <c r="F6" s="38">
        <f>G6-E6</f>
        <v>-2850</v>
      </c>
      <c r="G6" s="38">
        <v>-5341</v>
      </c>
      <c r="H6" s="38">
        <v>-2751</v>
      </c>
      <c r="J6" s="29" t="s">
        <v>79</v>
      </c>
      <c r="K6" s="9">
        <v>1538</v>
      </c>
      <c r="L6" s="9">
        <f>M6-K6</f>
        <v>2022</v>
      </c>
      <c r="M6" s="9">
        <v>3560</v>
      </c>
      <c r="N6" s="9">
        <v>1394</v>
      </c>
      <c r="O6" s="9">
        <f>P6-N6</f>
        <v>2018</v>
      </c>
      <c r="P6" s="9">
        <v>3412</v>
      </c>
      <c r="Q6" s="9">
        <v>1600</v>
      </c>
      <c r="S6" s="44" t="s">
        <v>36</v>
      </c>
      <c r="T6" s="22">
        <v>-16</v>
      </c>
      <c r="U6" s="22">
        <f>V6-T6</f>
        <v>-17</v>
      </c>
      <c r="V6" s="22">
        <v>-33</v>
      </c>
      <c r="W6" s="22">
        <v>-7</v>
      </c>
      <c r="X6" s="22">
        <f t="shared" si="3"/>
        <v>58</v>
      </c>
      <c r="Y6" s="22">
        <v>51</v>
      </c>
      <c r="Z6" s="22">
        <v>14</v>
      </c>
    </row>
    <row r="7" spans="1:26" x14ac:dyDescent="0.25">
      <c r="A7" t="s">
        <v>3</v>
      </c>
      <c r="B7" s="1">
        <v>1</v>
      </c>
      <c r="C7" s="1">
        <f t="shared" si="1"/>
        <v>2</v>
      </c>
      <c r="D7" s="1">
        <v>3</v>
      </c>
      <c r="E7" s="1">
        <v>-50</v>
      </c>
      <c r="F7" s="1">
        <f t="shared" si="2"/>
        <v>411</v>
      </c>
      <c r="G7" s="1">
        <v>361</v>
      </c>
      <c r="H7" s="1">
        <v>0</v>
      </c>
      <c r="J7" s="42" t="s">
        <v>30</v>
      </c>
      <c r="K7" s="43">
        <v>3440</v>
      </c>
      <c r="L7" s="11">
        <f>M7-K7</f>
        <v>3906</v>
      </c>
      <c r="M7" s="43">
        <v>7346</v>
      </c>
      <c r="N7" s="43">
        <v>3764</v>
      </c>
      <c r="O7" s="11">
        <f>P7-N7</f>
        <v>3880</v>
      </c>
      <c r="P7" s="43">
        <v>7644</v>
      </c>
      <c r="Q7" s="43">
        <v>3317</v>
      </c>
      <c r="S7" t="s">
        <v>32</v>
      </c>
      <c r="T7" s="1">
        <f>T5+T6</f>
        <v>2206</v>
      </c>
      <c r="U7" s="1">
        <f>U5+U6</f>
        <v>2862</v>
      </c>
      <c r="V7" s="1">
        <f>V5+V6</f>
        <v>5068</v>
      </c>
      <c r="W7" s="1">
        <f>W5+W6</f>
        <v>2050</v>
      </c>
      <c r="X7" s="1">
        <f t="shared" si="3"/>
        <v>2697</v>
      </c>
      <c r="Y7" s="1">
        <f>Y5+Y6</f>
        <v>4747</v>
      </c>
      <c r="Z7" s="1">
        <f>Z5+Z6</f>
        <v>2072</v>
      </c>
    </row>
    <row r="8" spans="1:26" x14ac:dyDescent="0.25">
      <c r="A8" s="20" t="s">
        <v>4</v>
      </c>
      <c r="B8" s="21">
        <v>-662</v>
      </c>
      <c r="C8" s="21">
        <f t="shared" si="1"/>
        <v>-710</v>
      </c>
      <c r="D8" s="21">
        <v>-1372</v>
      </c>
      <c r="E8" s="21">
        <v>-658</v>
      </c>
      <c r="F8" s="21">
        <f t="shared" si="2"/>
        <v>-638</v>
      </c>
      <c r="G8" s="21">
        <v>-1296</v>
      </c>
      <c r="H8" s="21">
        <v>-561</v>
      </c>
      <c r="J8" t="s">
        <v>31</v>
      </c>
      <c r="K8" s="1">
        <v>10209</v>
      </c>
      <c r="L8" s="1">
        <f>M8-K8</f>
        <v>11744</v>
      </c>
      <c r="M8" s="1">
        <v>21953</v>
      </c>
      <c r="N8" s="1">
        <f>N3+N7</f>
        <v>10386</v>
      </c>
      <c r="O8" s="1">
        <f>P8-N8</f>
        <v>11971</v>
      </c>
      <c r="P8" s="1">
        <v>22357</v>
      </c>
      <c r="Q8" s="1">
        <f>Q3+Q7</f>
        <v>10243</v>
      </c>
      <c r="S8" t="s">
        <v>33</v>
      </c>
      <c r="T8" s="1">
        <v>0</v>
      </c>
      <c r="U8" s="1">
        <f>V8-T8</f>
        <v>0</v>
      </c>
      <c r="V8" s="1">
        <v>0</v>
      </c>
      <c r="W8" s="1">
        <v>0</v>
      </c>
      <c r="X8" s="1">
        <f t="shared" si="3"/>
        <v>174</v>
      </c>
      <c r="Y8" s="1">
        <v>174</v>
      </c>
      <c r="Z8" s="1">
        <v>212</v>
      </c>
    </row>
    <row r="9" spans="1:26" x14ac:dyDescent="0.25">
      <c r="A9" t="s">
        <v>5</v>
      </c>
      <c r="B9" s="1">
        <v>-12</v>
      </c>
      <c r="C9" s="1">
        <f t="shared" si="1"/>
        <v>-21</v>
      </c>
      <c r="D9" s="1">
        <v>-33</v>
      </c>
      <c r="E9" s="1">
        <v>-26</v>
      </c>
      <c r="F9" s="1">
        <f t="shared" si="2"/>
        <v>-42</v>
      </c>
      <c r="G9" s="1">
        <v>-68</v>
      </c>
      <c r="H9" s="1">
        <v>-55</v>
      </c>
      <c r="S9" s="2" t="s">
        <v>3</v>
      </c>
      <c r="T9" s="3">
        <v>-301</v>
      </c>
      <c r="U9" s="3">
        <f>V9-T9</f>
        <v>-310</v>
      </c>
      <c r="V9" s="3">
        <v>-611</v>
      </c>
      <c r="W9" s="3">
        <v>-305</v>
      </c>
      <c r="X9" s="3">
        <f t="shared" si="3"/>
        <v>-501</v>
      </c>
      <c r="Y9" s="3">
        <v>-806</v>
      </c>
      <c r="Z9" s="3">
        <v>-393</v>
      </c>
    </row>
    <row r="10" spans="1:26" x14ac:dyDescent="0.25">
      <c r="A10" s="2" t="s">
        <v>6</v>
      </c>
      <c r="B10" s="3">
        <v>-11</v>
      </c>
      <c r="C10" s="3">
        <f t="shared" si="1"/>
        <v>-7</v>
      </c>
      <c r="D10" s="3">
        <v>-18</v>
      </c>
      <c r="E10" s="3">
        <v>-4</v>
      </c>
      <c r="F10" s="3">
        <f t="shared" si="2"/>
        <v>-7</v>
      </c>
      <c r="G10" s="3">
        <v>-11</v>
      </c>
      <c r="H10" s="3">
        <v>-8</v>
      </c>
      <c r="J10" s="8" t="s">
        <v>37</v>
      </c>
      <c r="K10" s="9">
        <v>3881</v>
      </c>
      <c r="L10" s="9">
        <f>M10-K10</f>
        <v>4533</v>
      </c>
      <c r="M10" s="9">
        <v>8414</v>
      </c>
      <c r="N10" s="9">
        <v>3573</v>
      </c>
      <c r="O10" s="9">
        <f>P10-N10</f>
        <v>4184</v>
      </c>
      <c r="P10" s="9">
        <v>7757</v>
      </c>
      <c r="Q10" s="9">
        <v>3577</v>
      </c>
      <c r="S10" s="14" t="s">
        <v>27</v>
      </c>
      <c r="T10" s="15">
        <f t="shared" ref="T10:Y10" si="4">T4+T7+T8+T9</f>
        <v>5733</v>
      </c>
      <c r="U10" s="15">
        <f t="shared" si="4"/>
        <v>7084</v>
      </c>
      <c r="V10" s="15">
        <f t="shared" si="4"/>
        <v>12817</v>
      </c>
      <c r="W10" s="15">
        <f>W4+W7+W8+W9</f>
        <v>5546</v>
      </c>
      <c r="X10" s="15">
        <f t="shared" si="4"/>
        <v>6981</v>
      </c>
      <c r="Y10" s="15">
        <f t="shared" si="4"/>
        <v>12527</v>
      </c>
      <c r="Z10" s="15">
        <f>Z4+Z7+Z8+Z9</f>
        <v>5715</v>
      </c>
    </row>
    <row r="11" spans="1:26" x14ac:dyDescent="0.25">
      <c r="A11" s="18" t="s">
        <v>7</v>
      </c>
      <c r="B11" s="19">
        <f t="shared" ref="B11:G11" si="5">SUM(B3:B5)+SUM(B7:B10)</f>
        <v>2679</v>
      </c>
      <c r="C11" s="19">
        <f t="shared" si="5"/>
        <v>3595</v>
      </c>
      <c r="D11" s="19">
        <f t="shared" si="5"/>
        <v>6274</v>
      </c>
      <c r="E11" s="19">
        <f t="shared" si="5"/>
        <v>2319</v>
      </c>
      <c r="F11" s="19">
        <f t="shared" si="5"/>
        <v>3855</v>
      </c>
      <c r="G11" s="19">
        <f t="shared" si="5"/>
        <v>6174</v>
      </c>
      <c r="H11" s="19">
        <f>SUM(H3:H5)+SUM(H7:H10)</f>
        <v>2342</v>
      </c>
      <c r="J11" s="10" t="s">
        <v>36</v>
      </c>
      <c r="K11" s="11">
        <v>1341</v>
      </c>
      <c r="L11" s="11">
        <f>M11-K11</f>
        <v>2059</v>
      </c>
      <c r="M11" s="11">
        <v>3400</v>
      </c>
      <c r="N11" s="11">
        <v>970</v>
      </c>
      <c r="O11" s="11">
        <f>P11-N11</f>
        <v>1639</v>
      </c>
      <c r="P11" s="11">
        <v>2609</v>
      </c>
      <c r="Q11" s="11">
        <v>1531</v>
      </c>
      <c r="S11" s="48" t="s">
        <v>75</v>
      </c>
      <c r="T11" s="48"/>
      <c r="U11" s="48"/>
      <c r="V11" s="48"/>
      <c r="W11" s="48"/>
      <c r="X11" s="48"/>
      <c r="Y11" s="48"/>
      <c r="Z11" s="48"/>
    </row>
    <row r="12" spans="1:26" x14ac:dyDescent="0.25">
      <c r="A12" t="s">
        <v>8</v>
      </c>
      <c r="B12" s="1">
        <v>-509</v>
      </c>
      <c r="C12" s="1">
        <f t="shared" si="1"/>
        <v>-528</v>
      </c>
      <c r="D12" s="1">
        <v>-1037</v>
      </c>
      <c r="E12" s="1">
        <v>-414</v>
      </c>
      <c r="F12" s="1">
        <f t="shared" si="2"/>
        <v>-441</v>
      </c>
      <c r="G12" s="1">
        <v>-855</v>
      </c>
      <c r="H12" s="1">
        <v>-434</v>
      </c>
      <c r="J12" t="s">
        <v>32</v>
      </c>
      <c r="K12" s="1">
        <f t="shared" ref="K12:Q12" si="6">K10+K11</f>
        <v>5222</v>
      </c>
      <c r="L12" s="1">
        <f t="shared" si="6"/>
        <v>6592</v>
      </c>
      <c r="M12" s="1">
        <f t="shared" si="6"/>
        <v>11814</v>
      </c>
      <c r="N12" s="1">
        <f t="shared" si="6"/>
        <v>4543</v>
      </c>
      <c r="O12" s="1">
        <f t="shared" si="6"/>
        <v>5823</v>
      </c>
      <c r="P12" s="1">
        <f t="shared" si="6"/>
        <v>10366</v>
      </c>
      <c r="Q12" s="1">
        <f t="shared" si="6"/>
        <v>5108</v>
      </c>
      <c r="S12" s="7" t="s">
        <v>43</v>
      </c>
      <c r="T12" t="s">
        <v>46</v>
      </c>
      <c r="U12" t="s">
        <v>47</v>
      </c>
      <c r="V12" t="s">
        <v>48</v>
      </c>
      <c r="W12" t="s">
        <v>24</v>
      </c>
      <c r="X12" t="s">
        <v>45</v>
      </c>
      <c r="Y12" t="s">
        <v>49</v>
      </c>
      <c r="Z12" t="s">
        <v>23</v>
      </c>
    </row>
    <row r="13" spans="1:26" x14ac:dyDescent="0.25">
      <c r="A13" s="2" t="s">
        <v>10</v>
      </c>
      <c r="B13" s="3">
        <v>-8</v>
      </c>
      <c r="C13" s="3">
        <f t="shared" si="1"/>
        <v>-12</v>
      </c>
      <c r="D13" s="3">
        <v>-20</v>
      </c>
      <c r="E13" s="3">
        <v>-7</v>
      </c>
      <c r="F13" s="3">
        <f t="shared" si="2"/>
        <v>-9</v>
      </c>
      <c r="G13" s="3">
        <v>-16</v>
      </c>
      <c r="H13" s="3">
        <v>-8</v>
      </c>
      <c r="S13" t="s">
        <v>31</v>
      </c>
      <c r="T13" s="5">
        <f t="shared" ref="T13:Z13" si="7">T4/K8</f>
        <v>0.37496326770496619</v>
      </c>
      <c r="U13" s="5">
        <f t="shared" si="7"/>
        <v>0.3858991825613079</v>
      </c>
      <c r="V13" s="5">
        <f t="shared" si="7"/>
        <v>0.38081355623377217</v>
      </c>
      <c r="W13" s="5">
        <f t="shared" si="7"/>
        <v>0.3659734257654535</v>
      </c>
      <c r="X13" s="5">
        <f t="shared" si="7"/>
        <v>0.38518085372984712</v>
      </c>
      <c r="Y13" s="5">
        <f t="shared" si="7"/>
        <v>0.37625799525875564</v>
      </c>
      <c r="Z13" s="5">
        <f t="shared" si="7"/>
        <v>0.37332812652543201</v>
      </c>
    </row>
    <row r="14" spans="1:26" x14ac:dyDescent="0.25">
      <c r="A14" t="s">
        <v>9</v>
      </c>
      <c r="B14" s="1">
        <f t="shared" ref="B14:H14" si="8">B11+B12+B13</f>
        <v>2162</v>
      </c>
      <c r="C14" s="1">
        <f t="shared" si="8"/>
        <v>3055</v>
      </c>
      <c r="D14" s="1">
        <f t="shared" si="8"/>
        <v>5217</v>
      </c>
      <c r="E14" s="1">
        <f t="shared" si="8"/>
        <v>1898</v>
      </c>
      <c r="F14" s="1">
        <f t="shared" si="8"/>
        <v>3405</v>
      </c>
      <c r="G14" s="1">
        <f t="shared" si="8"/>
        <v>5303</v>
      </c>
      <c r="H14" s="1">
        <f t="shared" si="8"/>
        <v>1900</v>
      </c>
      <c r="J14" t="s">
        <v>82</v>
      </c>
      <c r="K14" s="1">
        <v>0</v>
      </c>
      <c r="L14" s="1">
        <v>0</v>
      </c>
      <c r="M14" s="1">
        <v>0</v>
      </c>
      <c r="N14" s="1">
        <v>0</v>
      </c>
      <c r="O14" s="1">
        <f>P14-N14</f>
        <v>647</v>
      </c>
      <c r="P14" s="1">
        <v>647</v>
      </c>
      <c r="Q14" s="1">
        <v>1231</v>
      </c>
      <c r="S14" s="41" t="s">
        <v>37</v>
      </c>
      <c r="T14" s="13">
        <f t="shared" ref="T14:Z16" si="9">T5/K10</f>
        <v>0.57253285235763973</v>
      </c>
      <c r="U14" s="13">
        <f t="shared" si="9"/>
        <v>0.63512022942863444</v>
      </c>
      <c r="V14" s="13">
        <f t="shared" si="9"/>
        <v>0.60625148561920605</v>
      </c>
      <c r="W14" s="13">
        <f t="shared" si="9"/>
        <v>0.57570668905681499</v>
      </c>
      <c r="X14" s="13">
        <f t="shared" si="9"/>
        <v>0.63073613766730396</v>
      </c>
      <c r="Y14" s="13">
        <f t="shared" si="9"/>
        <v>0.60538868119118217</v>
      </c>
      <c r="Z14" s="13">
        <f t="shared" si="9"/>
        <v>0.57534246575342463</v>
      </c>
    </row>
    <row r="15" spans="1:26" x14ac:dyDescent="0.25">
      <c r="B15" s="1"/>
      <c r="C15" s="1"/>
      <c r="D15" s="1"/>
      <c r="E15" s="1"/>
      <c r="F15" s="1"/>
      <c r="G15" s="1"/>
      <c r="H15" s="1"/>
      <c r="J15" s="41" t="s">
        <v>56</v>
      </c>
      <c r="K15" s="22"/>
      <c r="L15" s="22"/>
      <c r="M15" s="22"/>
      <c r="N15" s="22"/>
      <c r="O15" s="22">
        <v>229</v>
      </c>
      <c r="P15" s="22">
        <v>229</v>
      </c>
      <c r="Q15" s="22">
        <v>460</v>
      </c>
      <c r="S15" s="44" t="s">
        <v>36</v>
      </c>
      <c r="T15" s="13">
        <f t="shared" si="9"/>
        <v>-1.1931394481730051E-2</v>
      </c>
      <c r="U15" s="13">
        <f t="shared" si="9"/>
        <v>-8.2564351627003405E-3</v>
      </c>
      <c r="V15" s="13">
        <f t="shared" si="9"/>
        <v>-9.705882352941177E-3</v>
      </c>
      <c r="W15" s="13">
        <f t="shared" si="9"/>
        <v>-7.2164948453608251E-3</v>
      </c>
      <c r="X15" s="13">
        <f t="shared" si="9"/>
        <v>3.5387431360585725E-2</v>
      </c>
      <c r="Y15" s="13">
        <f t="shared" si="9"/>
        <v>1.9547719432732848E-2</v>
      </c>
      <c r="Z15" s="13">
        <f t="shared" si="9"/>
        <v>9.1443500979751791E-3</v>
      </c>
    </row>
    <row r="16" spans="1:26" x14ac:dyDescent="0.25">
      <c r="A16" s="14" t="s">
        <v>27</v>
      </c>
      <c r="B16" s="15">
        <v>5733</v>
      </c>
      <c r="C16" s="15">
        <f>D16-B16</f>
        <v>7084</v>
      </c>
      <c r="D16" s="15">
        <v>12817</v>
      </c>
      <c r="E16" s="15">
        <v>5546</v>
      </c>
      <c r="F16" s="15">
        <f>G16-E16</f>
        <v>6981</v>
      </c>
      <c r="G16" s="15">
        <v>12527</v>
      </c>
      <c r="H16" s="15">
        <v>5715</v>
      </c>
      <c r="J16" t="s">
        <v>3</v>
      </c>
      <c r="K16" s="1">
        <v>103</v>
      </c>
      <c r="L16" s="1">
        <f>M16-K16</f>
        <v>133</v>
      </c>
      <c r="M16" s="1">
        <v>236</v>
      </c>
      <c r="N16" s="1">
        <v>155</v>
      </c>
      <c r="O16" s="1">
        <f>P16-N16</f>
        <v>86</v>
      </c>
      <c r="P16" s="1">
        <v>241</v>
      </c>
      <c r="Q16" s="1">
        <v>408</v>
      </c>
      <c r="S16" t="s">
        <v>32</v>
      </c>
      <c r="T16" s="5">
        <f t="shared" si="9"/>
        <v>0.42244350823439297</v>
      </c>
      <c r="U16" s="5">
        <f t="shared" si="9"/>
        <v>0.43416262135922329</v>
      </c>
      <c r="V16" s="5">
        <f t="shared" si="9"/>
        <v>0.42898256306077537</v>
      </c>
      <c r="W16" s="5">
        <f t="shared" si="9"/>
        <v>0.45124367158265466</v>
      </c>
      <c r="X16" s="5">
        <f t="shared" si="9"/>
        <v>0.4631633178773828</v>
      </c>
      <c r="Y16" s="5">
        <f t="shared" si="9"/>
        <v>0.45793941732587307</v>
      </c>
      <c r="Z16" s="5">
        <f t="shared" si="9"/>
        <v>0.40563821456538762</v>
      </c>
    </row>
    <row r="17" spans="1:26" x14ac:dyDescent="0.25">
      <c r="A17" t="s">
        <v>28</v>
      </c>
      <c r="B17" s="1">
        <v>7573.0439999999999</v>
      </c>
      <c r="C17" s="1">
        <f>D17*2-B17</f>
        <v>7572.7060000000001</v>
      </c>
      <c r="D17" s="1">
        <v>7572.875</v>
      </c>
      <c r="E17" s="1">
        <v>7574.9340000000002</v>
      </c>
      <c r="F17" s="1">
        <f>G17*2-E17</f>
        <v>7577.4739999999993</v>
      </c>
      <c r="G17" s="1">
        <v>7576.2039999999997</v>
      </c>
      <c r="H17" s="1">
        <v>7573.826</v>
      </c>
      <c r="J17" s="2" t="s">
        <v>34</v>
      </c>
      <c r="K17" s="3">
        <v>-425</v>
      </c>
      <c r="L17" s="3">
        <f>M17-K17</f>
        <v>-475</v>
      </c>
      <c r="M17" s="3">
        <v>-900</v>
      </c>
      <c r="N17" s="3">
        <v>-478</v>
      </c>
      <c r="O17" s="3">
        <f>P17-N17</f>
        <v>-744</v>
      </c>
      <c r="P17" s="3">
        <v>-1222</v>
      </c>
      <c r="Q17" s="3">
        <v>-1347</v>
      </c>
      <c r="S17" t="s">
        <v>33</v>
      </c>
      <c r="T17" s="6" t="s">
        <v>40</v>
      </c>
      <c r="U17" s="6" t="s">
        <v>40</v>
      </c>
      <c r="V17" s="6" t="s">
        <v>40</v>
      </c>
      <c r="W17" s="6" t="s">
        <v>40</v>
      </c>
      <c r="X17" s="5">
        <f>X8/O14</f>
        <v>0.26893353941267389</v>
      </c>
      <c r="Y17" s="5">
        <f>Y8/P14</f>
        <v>0.26893353941267389</v>
      </c>
      <c r="Z17" s="5">
        <f>Z8/Q14</f>
        <v>0.17221770917952883</v>
      </c>
    </row>
    <row r="18" spans="1:26" x14ac:dyDescent="0.25">
      <c r="A18" t="s">
        <v>11</v>
      </c>
      <c r="B18" s="4">
        <f t="shared" ref="B18:H18" si="10">B14/B17</f>
        <v>0.28548625889404577</v>
      </c>
      <c r="C18" s="4">
        <f t="shared" si="10"/>
        <v>0.4034225018111095</v>
      </c>
      <c r="D18" s="4">
        <f t="shared" si="10"/>
        <v>0.68890612878200153</v>
      </c>
      <c r="E18" s="4">
        <f t="shared" si="10"/>
        <v>0.25056323923086327</v>
      </c>
      <c r="F18" s="4">
        <f t="shared" si="10"/>
        <v>0.44935818981365033</v>
      </c>
      <c r="G18" s="4">
        <f t="shared" si="10"/>
        <v>0.69995475306631139</v>
      </c>
      <c r="H18" s="4">
        <f t="shared" si="10"/>
        <v>0.25086396228273533</v>
      </c>
      <c r="J18" s="16" t="s">
        <v>35</v>
      </c>
      <c r="K18" s="17">
        <f t="shared" ref="K18:Q18" si="11">K8+K12+K14+K16+K17</f>
        <v>15109</v>
      </c>
      <c r="L18" s="17">
        <f t="shared" si="11"/>
        <v>17994</v>
      </c>
      <c r="M18" s="17">
        <f t="shared" si="11"/>
        <v>33103</v>
      </c>
      <c r="N18" s="17">
        <f t="shared" si="11"/>
        <v>14606</v>
      </c>
      <c r="O18" s="17">
        <f t="shared" si="11"/>
        <v>17783</v>
      </c>
      <c r="P18" s="17">
        <f t="shared" si="11"/>
        <v>32389</v>
      </c>
      <c r="Q18" s="17">
        <f t="shared" si="11"/>
        <v>15643</v>
      </c>
      <c r="S18" t="s">
        <v>38</v>
      </c>
      <c r="T18" s="5">
        <f t="shared" ref="T18:Z18" si="12">T10/K18</f>
        <v>0.37944271626183068</v>
      </c>
      <c r="U18" s="5">
        <f t="shared" si="12"/>
        <v>0.3936867844837168</v>
      </c>
      <c r="V18" s="5">
        <f t="shared" si="12"/>
        <v>0.38718545146965533</v>
      </c>
      <c r="W18" s="5">
        <f t="shared" si="12"/>
        <v>0.37970696973846363</v>
      </c>
      <c r="X18" s="5">
        <f t="shared" si="12"/>
        <v>0.39256593375695892</v>
      </c>
      <c r="Y18" s="5">
        <f t="shared" si="12"/>
        <v>0.38676711229120997</v>
      </c>
      <c r="Z18" s="5">
        <f t="shared" si="12"/>
        <v>0.36533912932301987</v>
      </c>
    </row>
    <row r="19" spans="1:26" x14ac:dyDescent="0.25">
      <c r="A19" t="s">
        <v>12</v>
      </c>
      <c r="B19">
        <v>0.30009999999999998</v>
      </c>
      <c r="C19">
        <v>0.4037</v>
      </c>
      <c r="D19">
        <f>B19+C19</f>
        <v>0.70379999999999998</v>
      </c>
      <c r="E19">
        <v>0.30099999999999999</v>
      </c>
      <c r="F19">
        <v>0.40970000000000001</v>
      </c>
      <c r="G19">
        <f>E19+F19</f>
        <v>0.7107</v>
      </c>
      <c r="H19">
        <v>0.307</v>
      </c>
      <c r="J19" t="s">
        <v>1</v>
      </c>
      <c r="K19" s="1">
        <v>-6950</v>
      </c>
      <c r="L19" s="1">
        <f>M19-K19</f>
        <v>-8837</v>
      </c>
      <c r="M19" s="1">
        <v>-15787</v>
      </c>
      <c r="N19" s="1">
        <v>-6941</v>
      </c>
      <c r="O19" s="1">
        <f>P19-N19</f>
        <v>-8762</v>
      </c>
      <c r="P19" s="1">
        <v>-15703</v>
      </c>
      <c r="Q19" s="1">
        <v>-7550</v>
      </c>
      <c r="S19" s="12" t="s">
        <v>39</v>
      </c>
      <c r="T19" s="13">
        <f t="shared" ref="T19:Z19" si="13">(T10-T6)/(K18-K11)</f>
        <v>0.41756246368390471</v>
      </c>
      <c r="U19" s="13">
        <f t="shared" si="13"/>
        <v>0.44562284279887043</v>
      </c>
      <c r="V19" s="13">
        <f t="shared" si="13"/>
        <v>0.43261623405043259</v>
      </c>
      <c r="W19" s="13">
        <f t="shared" si="13"/>
        <v>0.40723085948958637</v>
      </c>
      <c r="X19" s="13">
        <f t="shared" si="13"/>
        <v>0.42882804757185333</v>
      </c>
      <c r="Y19" s="13">
        <f t="shared" si="13"/>
        <v>0.41893888515782407</v>
      </c>
      <c r="Z19" s="13">
        <f t="shared" si="13"/>
        <v>0.40398242630385489</v>
      </c>
    </row>
    <row r="20" spans="1:26" x14ac:dyDescent="0.25">
      <c r="J20" s="2" t="s">
        <v>50</v>
      </c>
      <c r="K20" s="3">
        <v>-2426</v>
      </c>
      <c r="L20" s="3">
        <f>M20-K20</f>
        <v>-2073</v>
      </c>
      <c r="M20" s="3">
        <v>-4499</v>
      </c>
      <c r="N20" s="3">
        <v>-2119</v>
      </c>
      <c r="O20" s="3">
        <f>P20-N20</f>
        <v>-2040</v>
      </c>
      <c r="P20" s="3">
        <v>-4159</v>
      </c>
      <c r="Q20" s="3">
        <v>-2378</v>
      </c>
    </row>
    <row r="21" spans="1:26" x14ac:dyDescent="0.25">
      <c r="A21" s="47" t="s">
        <v>74</v>
      </c>
      <c r="B21" s="47"/>
      <c r="C21" s="47"/>
      <c r="D21" s="47"/>
      <c r="E21" s="47"/>
      <c r="F21" s="47"/>
      <c r="G21" s="47"/>
      <c r="H21" s="47"/>
      <c r="J21" s="14" t="s">
        <v>27</v>
      </c>
      <c r="K21" s="15">
        <f t="shared" ref="K21:Q21" si="14">K18+K19+K20</f>
        <v>5733</v>
      </c>
      <c r="L21" s="15">
        <f t="shared" si="14"/>
        <v>7084</v>
      </c>
      <c r="M21" s="15">
        <f t="shared" si="14"/>
        <v>12817</v>
      </c>
      <c r="N21" s="15">
        <f t="shared" si="14"/>
        <v>5546</v>
      </c>
      <c r="O21" s="15">
        <f t="shared" si="14"/>
        <v>6981</v>
      </c>
      <c r="P21" s="15">
        <f t="shared" si="14"/>
        <v>12527</v>
      </c>
      <c r="Q21" s="15">
        <f t="shared" si="14"/>
        <v>5715</v>
      </c>
      <c r="S21" t="s">
        <v>80</v>
      </c>
      <c r="W21" s="1">
        <v>181</v>
      </c>
      <c r="X21" s="1"/>
      <c r="Y21" s="1"/>
      <c r="Z21" s="1">
        <v>187</v>
      </c>
    </row>
    <row r="22" spans="1:26" x14ac:dyDescent="0.25">
      <c r="A22" t="s">
        <v>19</v>
      </c>
      <c r="B22" s="1">
        <v>87947</v>
      </c>
      <c r="C22" s="1">
        <v>89848</v>
      </c>
      <c r="D22" s="1">
        <v>89848</v>
      </c>
      <c r="E22" s="1">
        <v>90967</v>
      </c>
      <c r="F22" s="1">
        <v>93434</v>
      </c>
      <c r="G22" s="1">
        <v>93434</v>
      </c>
      <c r="H22" s="1">
        <v>95203</v>
      </c>
      <c r="J22" s="32" t="s">
        <v>51</v>
      </c>
      <c r="K22" s="33">
        <v>-2371</v>
      </c>
      <c r="L22" s="33">
        <f>M22-K22</f>
        <v>-2750</v>
      </c>
      <c r="M22" s="33">
        <v>-5121</v>
      </c>
      <c r="N22" s="33">
        <v>-2491</v>
      </c>
      <c r="O22" s="33">
        <f>P22-N22</f>
        <v>-2850</v>
      </c>
      <c r="P22" s="33">
        <v>-5341</v>
      </c>
      <c r="Q22" s="33">
        <v>-2751</v>
      </c>
      <c r="S22" t="s">
        <v>81</v>
      </c>
      <c r="W22" s="1">
        <v>1348</v>
      </c>
      <c r="X22" s="1"/>
      <c r="Y22" s="1"/>
      <c r="Z22" s="1">
        <v>1352</v>
      </c>
    </row>
    <row r="23" spans="1:26" x14ac:dyDescent="0.25">
      <c r="A23" s="2" t="s">
        <v>20</v>
      </c>
      <c r="B23" s="3">
        <v>10006</v>
      </c>
      <c r="C23" s="3">
        <v>9921</v>
      </c>
      <c r="D23" s="3">
        <v>9921</v>
      </c>
      <c r="E23" s="3">
        <v>9299</v>
      </c>
      <c r="F23" s="3">
        <v>9737</v>
      </c>
      <c r="G23" s="3">
        <v>9737</v>
      </c>
      <c r="H23" s="3">
        <v>9082</v>
      </c>
      <c r="J23" t="s">
        <v>41</v>
      </c>
      <c r="K23" s="1">
        <v>1</v>
      </c>
      <c r="L23" s="1">
        <f>M23-K23</f>
        <v>-3</v>
      </c>
      <c r="M23" s="1">
        <v>-2</v>
      </c>
      <c r="N23" s="1">
        <v>2</v>
      </c>
      <c r="O23" s="1">
        <f>P23-N23</f>
        <v>0</v>
      </c>
      <c r="P23" s="1">
        <v>2</v>
      </c>
      <c r="Q23" s="1">
        <v>2</v>
      </c>
    </row>
    <row r="24" spans="1:26" x14ac:dyDescent="0.25">
      <c r="A24" t="s">
        <v>13</v>
      </c>
      <c r="B24" s="1">
        <f t="shared" ref="B24:H24" si="15">B22+B23</f>
        <v>97953</v>
      </c>
      <c r="C24" s="1">
        <f t="shared" si="15"/>
        <v>99769</v>
      </c>
      <c r="D24" s="1">
        <f t="shared" si="15"/>
        <v>99769</v>
      </c>
      <c r="E24" s="1">
        <f t="shared" si="15"/>
        <v>100266</v>
      </c>
      <c r="F24" s="1">
        <f t="shared" si="15"/>
        <v>103171</v>
      </c>
      <c r="G24" s="1">
        <f t="shared" si="15"/>
        <v>103171</v>
      </c>
      <c r="H24" s="1">
        <f t="shared" si="15"/>
        <v>104285</v>
      </c>
      <c r="J24" t="s">
        <v>3</v>
      </c>
      <c r="K24" s="1">
        <v>1</v>
      </c>
      <c r="L24" s="1">
        <f>M24-K24</f>
        <v>2</v>
      </c>
      <c r="M24" s="1">
        <v>3</v>
      </c>
      <c r="N24" s="1">
        <v>-50</v>
      </c>
      <c r="O24" s="1">
        <f>P24-N24</f>
        <v>411</v>
      </c>
      <c r="P24" s="1">
        <v>361</v>
      </c>
      <c r="Q24" s="1">
        <v>0</v>
      </c>
    </row>
    <row r="25" spans="1:26" x14ac:dyDescent="0.25">
      <c r="A25" s="12" t="s">
        <v>54</v>
      </c>
      <c r="B25" s="22">
        <v>49810</v>
      </c>
      <c r="C25" s="22">
        <v>49814</v>
      </c>
      <c r="D25" s="22">
        <v>49814</v>
      </c>
      <c r="E25" s="22">
        <v>49806</v>
      </c>
      <c r="F25" s="22">
        <v>49816</v>
      </c>
      <c r="G25" s="22">
        <v>49816</v>
      </c>
      <c r="H25" s="22">
        <v>49813</v>
      </c>
      <c r="J25" s="20" t="s">
        <v>52</v>
      </c>
      <c r="K25" s="21">
        <v>-662</v>
      </c>
      <c r="L25" s="21">
        <f>M25-K25</f>
        <v>-710</v>
      </c>
      <c r="M25" s="21">
        <v>-1372</v>
      </c>
      <c r="N25" s="21">
        <v>-658</v>
      </c>
      <c r="O25" s="21">
        <f>P25-N25</f>
        <v>-638</v>
      </c>
      <c r="P25" s="21">
        <v>-1296</v>
      </c>
      <c r="Q25" s="21">
        <v>-561</v>
      </c>
    </row>
    <row r="26" spans="1:26" x14ac:dyDescent="0.25">
      <c r="A26" s="12" t="s">
        <v>55</v>
      </c>
      <c r="B26" s="22">
        <v>8995</v>
      </c>
      <c r="C26" s="22">
        <v>10118</v>
      </c>
      <c r="D26" s="22">
        <v>10118</v>
      </c>
      <c r="E26" s="22">
        <v>10725</v>
      </c>
      <c r="F26" s="22">
        <v>11408</v>
      </c>
      <c r="G26" s="22">
        <v>11408</v>
      </c>
      <c r="H26" s="22">
        <v>12819</v>
      </c>
      <c r="J26" s="2" t="s">
        <v>42</v>
      </c>
      <c r="K26" s="3">
        <v>-23</v>
      </c>
      <c r="L26" s="3">
        <f>M26-K26</f>
        <v>-28</v>
      </c>
      <c r="M26" s="3">
        <v>-51</v>
      </c>
      <c r="N26" s="3">
        <v>-30</v>
      </c>
      <c r="O26" s="3">
        <f>P26-N26</f>
        <v>-49</v>
      </c>
      <c r="P26" s="3">
        <v>-79</v>
      </c>
      <c r="Q26" s="3">
        <v>-63</v>
      </c>
    </row>
    <row r="27" spans="1:26" x14ac:dyDescent="0.25">
      <c r="A27" s="12"/>
      <c r="B27" s="22"/>
      <c r="C27" s="22"/>
      <c r="D27" s="22"/>
      <c r="E27" s="22"/>
      <c r="F27" s="22"/>
      <c r="G27" s="22"/>
      <c r="H27" s="22"/>
      <c r="J27" s="18" t="s">
        <v>44</v>
      </c>
      <c r="K27" s="19">
        <f t="shared" ref="K27:Q27" si="16">SUM(K21:K26)</f>
        <v>2679</v>
      </c>
      <c r="L27" s="19">
        <f t="shared" si="16"/>
        <v>3595</v>
      </c>
      <c r="M27" s="19">
        <f t="shared" si="16"/>
        <v>6274</v>
      </c>
      <c r="N27" s="19">
        <f t="shared" si="16"/>
        <v>2319</v>
      </c>
      <c r="O27" s="19">
        <f t="shared" si="16"/>
        <v>3855</v>
      </c>
      <c r="P27" s="19">
        <f t="shared" si="16"/>
        <v>6174</v>
      </c>
      <c r="Q27" s="19">
        <f t="shared" si="16"/>
        <v>2342</v>
      </c>
    </row>
    <row r="28" spans="1:26" x14ac:dyDescent="0.25">
      <c r="A28" t="s">
        <v>21</v>
      </c>
      <c r="B28" s="1">
        <v>47806</v>
      </c>
      <c r="C28" s="1">
        <v>48708</v>
      </c>
      <c r="D28" s="1">
        <v>48708</v>
      </c>
      <c r="E28" s="1">
        <v>47695</v>
      </c>
      <c r="F28" s="1">
        <v>49902</v>
      </c>
      <c r="G28" s="1">
        <v>49902</v>
      </c>
      <c r="H28" s="1">
        <v>53425</v>
      </c>
    </row>
    <row r="29" spans="1:26" x14ac:dyDescent="0.25">
      <c r="A29" s="2" t="s">
        <v>22</v>
      </c>
      <c r="B29" s="3">
        <v>13170</v>
      </c>
      <c r="C29" s="3">
        <v>13091</v>
      </c>
      <c r="D29" s="3">
        <v>13091</v>
      </c>
      <c r="E29" s="3">
        <v>15738</v>
      </c>
      <c r="F29" s="3">
        <v>15369</v>
      </c>
      <c r="G29" s="3">
        <v>15369</v>
      </c>
      <c r="H29" s="3">
        <v>14269</v>
      </c>
    </row>
    <row r="30" spans="1:26" x14ac:dyDescent="0.25">
      <c r="A30" t="s">
        <v>14</v>
      </c>
      <c r="B30" s="1">
        <f t="shared" ref="B30:H30" si="17">B28+B29</f>
        <v>60976</v>
      </c>
      <c r="C30" s="1">
        <f t="shared" si="17"/>
        <v>61799</v>
      </c>
      <c r="D30" s="1">
        <f t="shared" si="17"/>
        <v>61799</v>
      </c>
      <c r="E30" s="1">
        <f t="shared" si="17"/>
        <v>63433</v>
      </c>
      <c r="F30" s="1">
        <f t="shared" si="17"/>
        <v>65271</v>
      </c>
      <c r="G30" s="1">
        <f t="shared" si="17"/>
        <v>65271</v>
      </c>
      <c r="H30" s="1">
        <f t="shared" si="17"/>
        <v>67694</v>
      </c>
    </row>
    <row r="31" spans="1:26" x14ac:dyDescent="0.25">
      <c r="B31" s="1"/>
      <c r="C31" s="1"/>
      <c r="D31" s="1"/>
      <c r="E31" s="1"/>
      <c r="F31" s="1"/>
      <c r="G31" s="1"/>
      <c r="H31" s="1"/>
    </row>
    <row r="32" spans="1:26" x14ac:dyDescent="0.25">
      <c r="A32" t="s">
        <v>25</v>
      </c>
      <c r="B32" s="1">
        <f t="shared" ref="B32:H32" si="18">B24-B30</f>
        <v>36977</v>
      </c>
      <c r="C32" s="1">
        <f t="shared" si="18"/>
        <v>37970</v>
      </c>
      <c r="D32" s="1">
        <f t="shared" si="18"/>
        <v>37970</v>
      </c>
      <c r="E32" s="1">
        <f t="shared" si="18"/>
        <v>36833</v>
      </c>
      <c r="F32" s="1">
        <f t="shared" si="18"/>
        <v>37900</v>
      </c>
      <c r="G32" s="1">
        <f t="shared" si="18"/>
        <v>37900</v>
      </c>
      <c r="H32" s="1">
        <f t="shared" si="18"/>
        <v>36591</v>
      </c>
    </row>
    <row r="33" spans="1:8" x14ac:dyDescent="0.25">
      <c r="A33" s="2" t="s">
        <v>26</v>
      </c>
      <c r="B33" s="3">
        <v>8</v>
      </c>
      <c r="C33" s="3">
        <v>58</v>
      </c>
      <c r="D33" s="3">
        <v>58</v>
      </c>
      <c r="E33" s="3">
        <v>54</v>
      </c>
      <c r="F33" s="3">
        <v>62</v>
      </c>
      <c r="G33" s="3">
        <v>62</v>
      </c>
      <c r="H33" s="3">
        <v>54</v>
      </c>
    </row>
    <row r="34" spans="1:8" x14ac:dyDescent="0.25">
      <c r="A34" t="s">
        <v>15</v>
      </c>
      <c r="B34" s="1">
        <f t="shared" ref="B34:H34" si="19">B32-B33</f>
        <v>36969</v>
      </c>
      <c r="C34" s="1">
        <f t="shared" si="19"/>
        <v>37912</v>
      </c>
      <c r="D34" s="1">
        <f t="shared" si="19"/>
        <v>37912</v>
      </c>
      <c r="E34" s="1">
        <f t="shared" si="19"/>
        <v>36779</v>
      </c>
      <c r="F34" s="1">
        <f t="shared" si="19"/>
        <v>37838</v>
      </c>
      <c r="G34" s="1">
        <f t="shared" si="19"/>
        <v>37838</v>
      </c>
      <c r="H34" s="1">
        <f t="shared" si="19"/>
        <v>36537</v>
      </c>
    </row>
    <row r="35" spans="1:8" x14ac:dyDescent="0.25">
      <c r="B35" s="1"/>
      <c r="C35" s="1"/>
      <c r="D35" s="1"/>
      <c r="E35" s="1"/>
      <c r="F35" s="1"/>
      <c r="G35" s="1"/>
      <c r="H35" s="1"/>
    </row>
    <row r="36" spans="1:8" x14ac:dyDescent="0.25">
      <c r="A36" t="s">
        <v>16</v>
      </c>
      <c r="B36" s="1">
        <f>1771+389</f>
        <v>2160</v>
      </c>
      <c r="C36" s="1">
        <f>2417+486</f>
        <v>2903</v>
      </c>
      <c r="D36" s="1">
        <f>2417+486</f>
        <v>2903</v>
      </c>
      <c r="E36" s="1">
        <f>1823+508</f>
        <v>2331</v>
      </c>
      <c r="F36" s="1">
        <f>538+2092</f>
        <v>2630</v>
      </c>
      <c r="G36" s="1">
        <f>538+2092</f>
        <v>2630</v>
      </c>
      <c r="H36" s="1">
        <f>468+1681</f>
        <v>2149</v>
      </c>
    </row>
    <row r="37" spans="1:8" x14ac:dyDescent="0.25">
      <c r="A37" s="2" t="s">
        <v>17</v>
      </c>
      <c r="B37" s="3">
        <v>40126</v>
      </c>
      <c r="C37" s="3">
        <v>40358</v>
      </c>
      <c r="D37" s="3">
        <v>40358</v>
      </c>
      <c r="E37" s="3">
        <f>2256+38851</f>
        <v>41107</v>
      </c>
      <c r="F37" s="3">
        <f>40719+1552</f>
        <v>42271</v>
      </c>
      <c r="G37" s="3">
        <f>40719+1552</f>
        <v>42271</v>
      </c>
      <c r="H37" s="3">
        <f>43059+60</f>
        <v>43119</v>
      </c>
    </row>
    <row r="38" spans="1:8" x14ac:dyDescent="0.25">
      <c r="A38" t="s">
        <v>18</v>
      </c>
      <c r="B38" s="1">
        <f t="shared" ref="B38:H38" si="20">B37-B36</f>
        <v>37966</v>
      </c>
      <c r="C38" s="1">
        <f t="shared" si="20"/>
        <v>37455</v>
      </c>
      <c r="D38" s="1">
        <f t="shared" si="20"/>
        <v>37455</v>
      </c>
      <c r="E38" s="1">
        <f t="shared" si="20"/>
        <v>38776</v>
      </c>
      <c r="F38" s="1">
        <f t="shared" si="20"/>
        <v>39641</v>
      </c>
      <c r="G38" s="1">
        <f t="shared" si="20"/>
        <v>39641</v>
      </c>
      <c r="H38" s="1">
        <f t="shared" si="20"/>
        <v>40970</v>
      </c>
    </row>
    <row r="40" spans="1:8" x14ac:dyDescent="0.25">
      <c r="A40" t="s">
        <v>58</v>
      </c>
      <c r="B40" s="5">
        <f t="shared" ref="B40:H40" si="21">B38/B34</f>
        <v>1.0269685412102032</v>
      </c>
      <c r="C40" s="5">
        <f t="shared" si="21"/>
        <v>0.98794576914960963</v>
      </c>
      <c r="D40" s="5">
        <f t="shared" si="21"/>
        <v>0.98794576914960963</v>
      </c>
      <c r="E40" s="5">
        <f t="shared" si="21"/>
        <v>1.0542972892139537</v>
      </c>
      <c r="F40" s="5">
        <f t="shared" si="21"/>
        <v>1.0476505100692426</v>
      </c>
      <c r="G40" s="5">
        <f t="shared" si="21"/>
        <v>1.0476505100692426</v>
      </c>
      <c r="H40" s="5">
        <f t="shared" si="21"/>
        <v>1.1213290636888633</v>
      </c>
    </row>
    <row r="41" spans="1:8" x14ac:dyDescent="0.25">
      <c r="A41" t="s">
        <v>57</v>
      </c>
      <c r="B41" s="5">
        <f t="shared" ref="B41:G41" si="22">B38/B24</f>
        <v>0.38759405020775267</v>
      </c>
      <c r="C41" s="5">
        <f t="shared" si="22"/>
        <v>0.37541721376379439</v>
      </c>
      <c r="D41" s="5">
        <f t="shared" si="22"/>
        <v>0.37541721376379439</v>
      </c>
      <c r="E41" s="5">
        <f t="shared" si="22"/>
        <v>0.3867312947559492</v>
      </c>
      <c r="F41" s="5">
        <f t="shared" si="22"/>
        <v>0.38422618759147437</v>
      </c>
      <c r="G41" s="5">
        <f t="shared" si="22"/>
        <v>0.38422618759147437</v>
      </c>
      <c r="H41" s="5">
        <f>H38/H24</f>
        <v>0.39286570455962028</v>
      </c>
    </row>
  </sheetData>
  <mergeCells count="5">
    <mergeCell ref="A1:H1"/>
    <mergeCell ref="J1:Q1"/>
    <mergeCell ref="S1:Z1"/>
    <mergeCell ref="A21:H21"/>
    <mergeCell ref="S11:Z11"/>
  </mergeCells>
  <phoneticPr fontId="2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8</vt:lpstr>
      <vt:lpstr>6823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Ivan</dc:creator>
  <cp:lastModifiedBy>Ivan</cp:lastModifiedBy>
  <dcterms:created xsi:type="dcterms:W3CDTF">2021-08-08T17:06:53Z</dcterms:created>
  <dcterms:modified xsi:type="dcterms:W3CDTF">2021-08-15T22:31:08Z</dcterms:modified>
</cp:coreProperties>
</file>